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80" windowHeight="18740" activeTab="0"/>
  </bookViews>
  <sheets>
    <sheet name="FINAL Route 2010" sheetId="1" r:id="rId1"/>
  </sheets>
  <definedNames>
    <definedName name="_xlnm.Print_Area" localSheetId="0">'FINAL Route 2010'!$B$1:$I$127</definedName>
  </definedNames>
  <calcPr fullCalcOnLoad="1"/>
</workbook>
</file>

<file path=xl/sharedStrings.xml><?xml version="1.0" encoding="utf-8"?>
<sst xmlns="http://schemas.openxmlformats.org/spreadsheetml/2006/main" count="288" uniqueCount="171">
  <si>
    <t>South</t>
  </si>
  <si>
    <t>Left</t>
  </si>
  <si>
    <t>Right</t>
  </si>
  <si>
    <t>Virginia St</t>
  </si>
  <si>
    <t>Spruce St</t>
  </si>
  <si>
    <t>TURN</t>
  </si>
  <si>
    <t>Wildcat Canyon Rd</t>
  </si>
  <si>
    <t>San Pablo Dam Rd</t>
  </si>
  <si>
    <t>Castro Ranch Rd</t>
  </si>
  <si>
    <t>Pinole Valley Rd</t>
  </si>
  <si>
    <t>Bridge bike path</t>
  </si>
  <si>
    <t>Sequoia Ave</t>
  </si>
  <si>
    <t>5th St</t>
  </si>
  <si>
    <t>Solano Ave</t>
  </si>
  <si>
    <t>Columbus Parkway</t>
  </si>
  <si>
    <t>Lake Herman Rd</t>
  </si>
  <si>
    <t>Straight</t>
  </si>
  <si>
    <t>Springs Rd</t>
  </si>
  <si>
    <t>Lopes Rd</t>
  </si>
  <si>
    <t>Bridgeport Ave</t>
  </si>
  <si>
    <t>Cordellia Rd</t>
  </si>
  <si>
    <t>Pitmann Rd</t>
  </si>
  <si>
    <t>Rockville Rd</t>
  </si>
  <si>
    <t>Abernathy</t>
  </si>
  <si>
    <t>Mancas Corner</t>
  </si>
  <si>
    <t>Waterman Blvd</t>
  </si>
  <si>
    <t>Lyon Rd</t>
  </si>
  <si>
    <t>Hillborn Rd</t>
  </si>
  <si>
    <t>Cherry Glen Rd</t>
  </si>
  <si>
    <t>Pleasants Valley Rd</t>
  </si>
  <si>
    <t>Capell Vly Rd (hwy 128)</t>
  </si>
  <si>
    <t xml:space="preserve">Go  </t>
  </si>
  <si>
    <t>Silverado Trail</t>
  </si>
  <si>
    <t>Lake St into Calistoga</t>
  </si>
  <si>
    <t>Grant St becomes Myrtledale</t>
  </si>
  <si>
    <t>Tubbs Lane</t>
  </si>
  <si>
    <t>Hwy 128</t>
  </si>
  <si>
    <t>Alexander Valley Rd</t>
  </si>
  <si>
    <t>Healdsburg Ave</t>
  </si>
  <si>
    <t>Onto Plaza walkway</t>
  </si>
  <si>
    <t>Healdsburg Ave-becomes Old Redwood Hwy</t>
  </si>
  <si>
    <t>Eastside Rd</t>
  </si>
  <si>
    <t xml:space="preserve"> ONTO</t>
  </si>
  <si>
    <t>Time</t>
  </si>
  <si>
    <t>Elapsed</t>
  </si>
  <si>
    <t>Time of</t>
  </si>
  <si>
    <t>Minutes</t>
  </si>
  <si>
    <t>Hrs</t>
  </si>
  <si>
    <t>Day</t>
  </si>
  <si>
    <t>Trenton-Healdsburg Rd</t>
  </si>
  <si>
    <t>River Rd</t>
  </si>
  <si>
    <t>Bear R</t>
  </si>
  <si>
    <t>Woolsey Rd</t>
  </si>
  <si>
    <t>Olivet Rd</t>
  </si>
  <si>
    <t>W. Olivet Rd</t>
  </si>
  <si>
    <t>Oakwild Lane</t>
  </si>
  <si>
    <t>Guerneyville Rd</t>
  </si>
  <si>
    <t>Willowside Rd</t>
  </si>
  <si>
    <t>Hall Rd</t>
  </si>
  <si>
    <t>Santa Rosa Blvd</t>
  </si>
  <si>
    <t>Baker</t>
  </si>
  <si>
    <t>backtrack</t>
  </si>
  <si>
    <t>Baker becomes Colgan Ave</t>
  </si>
  <si>
    <t>Petaluma Hill Rd</t>
  </si>
  <si>
    <t>D St becomes Pt. Reyes Petaulma rd</t>
  </si>
  <si>
    <t>Nicasio Valley Rd</t>
  </si>
  <si>
    <t>Sir Francis Drake Blvd</t>
  </si>
  <si>
    <t xml:space="preserve">College Ave in Kentfield </t>
  </si>
  <si>
    <t>Magnolia becomes Corte Madera Ave</t>
  </si>
  <si>
    <t>Battery Cranston Rd</t>
  </si>
  <si>
    <t>Merchant Road-up the hill</t>
  </si>
  <si>
    <t>Lincoln Blvd</t>
  </si>
  <si>
    <t>Pope St</t>
  </si>
  <si>
    <t>East</t>
  </si>
  <si>
    <t xml:space="preserve">San Pablo Ave </t>
  </si>
  <si>
    <t xml:space="preserve">Suisun Valley Rd </t>
  </si>
  <si>
    <t>EST AVG</t>
  </si>
  <si>
    <t>SPEED</t>
  </si>
  <si>
    <t>Redwood Ave</t>
  </si>
  <si>
    <t>Sanford</t>
  </si>
  <si>
    <t xml:space="preserve">AT MILE </t>
  </si>
  <si>
    <t>McGee Ave</t>
  </si>
  <si>
    <t>E Blithedale Ave</t>
  </si>
  <si>
    <t>bike path</t>
  </si>
  <si>
    <t>Continue</t>
  </si>
  <si>
    <t>Pohono</t>
  </si>
  <si>
    <t>cross</t>
  </si>
  <si>
    <t>Bridgeway in Sausalito</t>
  </si>
  <si>
    <t>Richardson</t>
  </si>
  <si>
    <t>2nd Street</t>
  </si>
  <si>
    <t>South St becomes Alexander Ave</t>
  </si>
  <si>
    <t>bike path to bridge</t>
  </si>
  <si>
    <t>East side of bridge</t>
  </si>
  <si>
    <t>down around concession bldg</t>
  </si>
  <si>
    <t>Under highway</t>
  </si>
  <si>
    <t>Cranston Rd</t>
  </si>
  <si>
    <t>Kobbe Ave</t>
  </si>
  <si>
    <t>Washington Blvd</t>
  </si>
  <si>
    <t>Miles since 22 hr control</t>
  </si>
  <si>
    <t>hundredths</t>
  </si>
  <si>
    <t>of an hour</t>
  </si>
  <si>
    <t>Hundredths of an hour</t>
  </si>
  <si>
    <t>Maritime Academy Dr</t>
  </si>
  <si>
    <t>Paradise</t>
  </si>
  <si>
    <t>Tamalpais  to u turn at San Clemente</t>
  </si>
  <si>
    <t>U-turn</t>
  </si>
  <si>
    <t>Tamalpais</t>
  </si>
  <si>
    <t>Casa Buena Dr</t>
  </si>
  <si>
    <t>onto Bike Path</t>
  </si>
  <si>
    <t>Lomita Dr</t>
  </si>
  <si>
    <t>Cross</t>
  </si>
  <si>
    <t>26.7 km</t>
  </si>
  <si>
    <r>
      <t>CONTROL 1</t>
    </r>
    <r>
      <rPr>
        <b/>
        <sz val="10"/>
        <rFont val="Arial"/>
        <family val="2"/>
      </rPr>
      <t xml:space="preserve">  -START  1419 McGee Ave, Berkeley, CA</t>
    </r>
  </si>
  <si>
    <r>
      <t>CONTROL</t>
    </r>
    <r>
      <rPr>
        <b/>
        <sz val="11"/>
        <rFont val="Arial"/>
        <family val="0"/>
      </rPr>
      <t xml:space="preserve"> </t>
    </r>
    <r>
      <rPr>
        <b/>
        <sz val="11"/>
        <color indexed="10"/>
        <rFont val="Arial"/>
        <family val="0"/>
      </rPr>
      <t>6</t>
    </r>
    <r>
      <rPr>
        <b/>
        <sz val="11"/>
        <rFont val="Arial"/>
        <family val="0"/>
      </rPr>
      <t xml:space="preserve"> Denny's in Santa Rosa </t>
    </r>
    <r>
      <rPr>
        <sz val="11"/>
        <rFont val="Arial"/>
        <family val="0"/>
      </rPr>
      <t xml:space="preserve">            115 Baker Ave, just off Santa Rosa Av </t>
    </r>
    <r>
      <rPr>
        <b/>
        <sz val="11"/>
        <rFont val="Arial"/>
        <family val="0"/>
      </rPr>
      <t xml:space="preserve">   60</t>
    </r>
  </si>
  <si>
    <t>R</t>
  </si>
  <si>
    <t>Bike path exits and descends in loop under bridge, then loops</t>
  </si>
  <si>
    <t xml:space="preserve">up to East side walk way; turn left and descend steep ramp </t>
  </si>
  <si>
    <t>to left, to Visitors' Center and Levi Strauss Plaza</t>
  </si>
  <si>
    <t>Vista Access</t>
  </si>
  <si>
    <t>L</t>
  </si>
  <si>
    <t>Merchant Rd</t>
  </si>
  <si>
    <t>UPHILL</t>
  </si>
  <si>
    <t>Lincoln Blvd, immediate left onto Ralston Av</t>
  </si>
  <si>
    <t>(cross Lincoln)</t>
  </si>
  <si>
    <t>Greenough</t>
  </si>
  <si>
    <t>Waller St</t>
  </si>
  <si>
    <t>Cole St.</t>
  </si>
  <si>
    <t>go three blocks</t>
  </si>
  <si>
    <t>FINISH</t>
  </si>
  <si>
    <t>STOP</t>
  </si>
  <si>
    <r>
      <t>Control # 9:</t>
    </r>
    <r>
      <rPr>
        <sz val="12"/>
        <color indexed="8"/>
        <rFont val="Calibri"/>
        <family val="2"/>
      </rPr>
      <t xml:space="preserve"> Crepes, 100 Carl St, San Francisco</t>
    </r>
  </si>
  <si>
    <t>at Cole</t>
  </si>
  <si>
    <t>2009/04/12 Sunday</t>
  </si>
  <si>
    <t>THIS ROUTE AVOIDS THE BIG CLIMB ON ARGUELLO IN THE PRESIDEO AND IS MUCH MORE PLEASANT.  DEVELOPED</t>
  </si>
  <si>
    <t>BY TOM RUSSELL.  IT FOLLOWS THE COUNTOURS AFTER THE SMALL CLIMB UP MERCHANT TO THE WEST.</t>
  </si>
  <si>
    <t>http://www.gmap-pedometer.com/?r=2730277</t>
  </si>
  <si>
    <t>via 128 all the way to the Silverado trail</t>
  </si>
  <si>
    <t>via 128 to 121 to Silverado trail</t>
  </si>
  <si>
    <t>Berkeley; Valley Cafe, Suisun Ca.; Lake Solano Cnty Park; Vintage Food Mart, St. Helena; Bear Republic, Healdsburg; Denny's, Santa Rosa, Safeway, Petaluma, Denny's, Corte Madera, Crepes on Cole, SF</t>
  </si>
  <si>
    <t>2010 Fleche Velocio  April 3-4, 2010</t>
  </si>
  <si>
    <t>Day 09</t>
  </si>
  <si>
    <t>Main St</t>
  </si>
  <si>
    <t>Old Redwood Hwy</t>
  </si>
  <si>
    <t>Industrial Ave</t>
  </si>
  <si>
    <t xml:space="preserve">Corona Rd </t>
  </si>
  <si>
    <t>Industrial Ave - to end</t>
  </si>
  <si>
    <t>Petaluma Blvd</t>
  </si>
  <si>
    <t>Denny's  4986 Petaluma Boulevard N, Petaluma                          40</t>
  </si>
  <si>
    <r>
      <t xml:space="preserve">CONTROL 8 </t>
    </r>
    <r>
      <rPr>
        <b/>
        <sz val="10"/>
        <rFont val="Arial"/>
        <family val="2"/>
      </rPr>
      <t>- FINISH at CREPES ON COLE</t>
    </r>
  </si>
  <si>
    <t>Stone</t>
  </si>
  <si>
    <t>Ralston</t>
  </si>
  <si>
    <t>Harrison</t>
  </si>
  <si>
    <t>Arguello</t>
  </si>
  <si>
    <t>Stanyon St</t>
  </si>
  <si>
    <t>Fulton</t>
  </si>
  <si>
    <t>Carl St</t>
  </si>
  <si>
    <r>
      <t>CONTROL</t>
    </r>
    <r>
      <rPr>
        <b/>
        <sz val="11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7</t>
    </r>
    <r>
      <rPr>
        <b/>
        <sz val="10"/>
        <rFont val="Arial"/>
        <family val="2"/>
      </rPr>
      <t xml:space="preserve"> - 22 HOUR Denny's  5839 Paradise Dr, Corte Madera                      </t>
    </r>
    <r>
      <rPr>
        <b/>
        <sz val="11"/>
        <rFont val="Arial"/>
        <family val="0"/>
      </rPr>
      <t xml:space="preserve"> 45</t>
    </r>
  </si>
  <si>
    <t>From Denny's it's about a 360' climb w 3.22 miles by way of camino alto to the sausalito bike path</t>
  </si>
  <si>
    <t>From Denny's it's about a 250' climb w 2.51 miles by way of bike path to the Sausalito bike path.</t>
  </si>
  <si>
    <t>Parker Ave becomes San Pablo Ave</t>
  </si>
  <si>
    <t>stay on Sir Francis Drake</t>
  </si>
  <si>
    <t>becomes tamalpais (@ Fwy)</t>
  </si>
  <si>
    <t>Lopes Rd (if you stop at Gold Hill Mkt)</t>
  </si>
  <si>
    <r>
      <t>CONTROL 3</t>
    </r>
    <r>
      <rPr>
        <b/>
        <sz val="11"/>
        <rFont val="Arial"/>
        <family val="0"/>
      </rPr>
      <t>- Lake Solano County Park            20 min.</t>
    </r>
  </si>
  <si>
    <r>
      <t>CONTROL 2</t>
    </r>
    <r>
      <rPr>
        <b/>
        <sz val="11"/>
        <rFont val="Arial"/>
        <family val="0"/>
      </rPr>
      <t xml:space="preserve"> &amp; LUNCH at Valley Café         4171 Suisun Valley Rd, Suisun, CA     60 min.</t>
    </r>
  </si>
  <si>
    <t>REST STOP (NOT CONTROL) Rodeo Starbucks                                     20 min.</t>
  </si>
  <si>
    <r>
      <t>CONTROL 4</t>
    </r>
    <r>
      <rPr>
        <b/>
        <sz val="11"/>
        <rFont val="Arial"/>
        <family val="0"/>
      </rPr>
      <t xml:space="preserve"> Vintage Food Mart     1108 Main St, St Helena, CA‎    30 min.</t>
    </r>
  </si>
  <si>
    <r>
      <t xml:space="preserve">CONTROL </t>
    </r>
    <r>
      <rPr>
        <b/>
        <sz val="11"/>
        <color indexed="10"/>
        <rFont val="Arial"/>
        <family val="0"/>
      </rPr>
      <t>5</t>
    </r>
    <r>
      <rPr>
        <b/>
        <sz val="11"/>
        <rFont val="Arial"/>
        <family val="0"/>
      </rPr>
      <t xml:space="preserve"> &amp; DINNER</t>
    </r>
    <r>
      <rPr>
        <sz val="11"/>
        <rFont val="Arial"/>
        <family val="0"/>
      </rPr>
      <t xml:space="preserve"> at Bear Republic in Healdsburg. Restaurant serves till 9:30  </t>
    </r>
    <r>
      <rPr>
        <b/>
        <sz val="11"/>
        <rFont val="Arial"/>
        <family val="0"/>
      </rPr>
      <t>100 min.</t>
    </r>
  </si>
  <si>
    <r>
      <t xml:space="preserve">Oblio's Dog    </t>
    </r>
    <r>
      <rPr>
        <sz val="12"/>
        <rFont val="Arial"/>
        <family val="2"/>
      </rPr>
      <t>Team Captain (xxx) xxx-xxxx</t>
    </r>
  </si>
  <si>
    <t>Team Member (xxx) xxx-xxxx,  Team Member  (xxx) xxx-xxxx,</t>
  </si>
  <si>
    <t>Team Member (xxx) xxx-xxxx    Team Member (xxx) xxx-xxxx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</si>
</sst>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0000000000"/>
    <numFmt numFmtId="166" formatCode="_(* #,##0.0_);_(* \(#,##0.0\);_(* &quot;-&quot;??_);_(@_)"/>
    <numFmt numFmtId="167" formatCode="0.0"/>
    <numFmt numFmtId="168" formatCode="_(* #,##0.000_);_(* \(#,##0.000\);_(* &quot;-&quot;???_);_(@_)"/>
    <numFmt numFmtId="169" formatCode="#,##0.000"/>
    <numFmt numFmtId="170" formatCode="#,##0.0000"/>
    <numFmt numFmtId="171" formatCode="#,##0.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  <numFmt numFmtId="178" formatCode="[$-409]h:mm:ss\ AM/PM"/>
    <numFmt numFmtId="179" formatCode="h:mm;@"/>
    <numFmt numFmtId="180" formatCode="_(* #,##0.0000_);_(* \(#,##0.0000\);_(* &quot;-&quot;????_);_(@_)"/>
    <numFmt numFmtId="181" formatCode="#,##0.0_);\(#,##0.0\)"/>
    <numFmt numFmtId="182" formatCode="#,##0.000_);\(#,##0.000\)"/>
    <numFmt numFmtId="183" formatCode="_(* #,##0.000_);_(* \(#,##0.000\);_(* &quot;-&quot;??_);_(@_)"/>
    <numFmt numFmtId="184" formatCode="_(* #,##0.0_);_(* \(#,##0.0\);_(* &quot;-&quot;?_);_(@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0"/>
      <color indexed="14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hair"/>
      <top style="medium">
        <color indexed="18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>
        <color indexed="18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medium">
        <color indexed="18"/>
      </top>
      <bottom style="hair"/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18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>
        <color indexed="18"/>
      </top>
      <bottom style="thin">
        <color indexed="18"/>
      </bottom>
    </border>
    <border>
      <left style="hair"/>
      <right style="hair"/>
      <top style="thin">
        <color indexed="18"/>
      </top>
      <bottom style="thin">
        <color indexed="18"/>
      </bottom>
    </border>
    <border>
      <left style="thin"/>
      <right style="hair"/>
      <top style="thin">
        <color indexed="18"/>
      </top>
      <bottom style="medium">
        <color indexed="18"/>
      </bottom>
    </border>
    <border>
      <left style="hair"/>
      <right style="hair"/>
      <top style="thin">
        <color indexed="18"/>
      </top>
      <bottom style="medium">
        <color indexed="18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medium">
        <color indexed="18"/>
      </left>
      <right style="hair"/>
      <top>
        <color indexed="63"/>
      </top>
      <bottom style="hair"/>
    </border>
    <border>
      <left style="medium">
        <color indexed="18"/>
      </left>
      <right style="hair"/>
      <top style="hair"/>
      <bottom style="hair"/>
    </border>
    <border>
      <left style="medium">
        <color indexed="18"/>
      </left>
      <right style="hair"/>
      <top style="hair"/>
      <bottom>
        <color indexed="63"/>
      </bottom>
    </border>
    <border>
      <left style="medium">
        <color indexed="18"/>
      </left>
      <right style="hair"/>
      <top style="thin">
        <color indexed="18"/>
      </top>
      <bottom style="thin">
        <color indexed="18"/>
      </bottom>
    </border>
    <border>
      <left style="medium">
        <color indexed="18"/>
      </left>
      <right style="hair"/>
      <top style="thin">
        <color indexed="18"/>
      </top>
      <bottom style="medium">
        <color indexed="18"/>
      </bottom>
    </border>
    <border>
      <left style="medium">
        <color indexed="18"/>
      </left>
      <right style="hair"/>
      <top style="medium">
        <color indexed="18"/>
      </top>
      <bottom style="hair"/>
    </border>
    <border>
      <left style="medium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thin"/>
      <top style="thin">
        <color indexed="18"/>
      </top>
      <bottom style="thin">
        <color indexed="18"/>
      </bottom>
    </border>
    <border>
      <left>
        <color indexed="63"/>
      </left>
      <right style="thin"/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8"/>
      </right>
      <top style="medium"/>
      <bottom style="hair"/>
    </border>
    <border>
      <left>
        <color indexed="63"/>
      </left>
      <right style="medium">
        <color indexed="18"/>
      </right>
      <top style="hair"/>
      <bottom style="hair"/>
    </border>
    <border>
      <left>
        <color indexed="63"/>
      </left>
      <right style="medium">
        <color indexed="18"/>
      </right>
      <top style="hair"/>
      <bottom>
        <color indexed="63"/>
      </bottom>
    </border>
    <border>
      <left>
        <color indexed="63"/>
      </left>
      <right style="medium">
        <color indexed="18"/>
      </right>
      <top style="thin"/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hair"/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hair"/>
      <top style="thin">
        <color indexed="18"/>
      </top>
      <bottom style="thin">
        <color indexed="18"/>
      </bottom>
    </border>
    <border>
      <left>
        <color indexed="63"/>
      </left>
      <right style="hair"/>
      <top style="thin">
        <color indexed="18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8"/>
      </right>
      <top>
        <color indexed="63"/>
      </top>
      <bottom style="hair"/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medium">
        <color indexed="18"/>
      </right>
      <top style="hair">
        <color indexed="18"/>
      </top>
      <bottom style="medium">
        <color indexed="18"/>
      </bottom>
    </border>
    <border>
      <left style="hair"/>
      <right style="thin"/>
      <top style="thin"/>
      <bottom style="medium">
        <color indexed="18"/>
      </bottom>
    </border>
    <border>
      <left style="thin"/>
      <right style="hair"/>
      <top style="thin"/>
      <bottom style="medium">
        <color indexed="18"/>
      </bottom>
    </border>
    <border>
      <left style="hair"/>
      <right style="hair"/>
      <top style="thin"/>
      <bottom style="medium">
        <color indexed="18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 style="thin">
        <color indexed="18"/>
      </top>
      <bottom style="thin">
        <color indexed="18"/>
      </bottom>
    </border>
    <border>
      <left style="hair"/>
      <right>
        <color indexed="63"/>
      </right>
      <top style="thin">
        <color indexed="18"/>
      </top>
      <bottom style="medium">
        <color indexed="18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 style="medium">
        <color indexed="18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>
        <color indexed="18"/>
      </top>
      <bottom style="hair">
        <color indexed="18"/>
      </bottom>
    </border>
    <border>
      <left style="hair"/>
      <right style="medium"/>
      <top style="hair">
        <color indexed="18"/>
      </top>
      <bottom style="medium">
        <color indexed="18"/>
      </bottom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43" fontId="0" fillId="0" borderId="10" xfId="42" applyFont="1" applyBorder="1" applyAlignment="1">
      <alignment/>
    </xf>
    <xf numFmtId="0" fontId="0" fillId="0" borderId="11" xfId="0" applyBorder="1" applyAlignment="1">
      <alignment/>
    </xf>
    <xf numFmtId="4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20" fontId="0" fillId="0" borderId="0" xfId="0" applyNumberForma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43" fontId="0" fillId="0" borderId="26" xfId="42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Border="1" applyAlignment="1">
      <alignment/>
    </xf>
    <xf numFmtId="43" fontId="0" fillId="0" borderId="30" xfId="42" applyFont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32" xfId="0" applyNumberFormat="1" applyBorder="1" applyAlignment="1">
      <alignment/>
    </xf>
    <xf numFmtId="167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0" fillId="0" borderId="35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7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Border="1" applyAlignment="1">
      <alignment/>
    </xf>
    <xf numFmtId="20" fontId="3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4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Fill="1" applyBorder="1" applyAlignment="1">
      <alignment wrapText="1"/>
    </xf>
    <xf numFmtId="167" fontId="0" fillId="0" borderId="36" xfId="0" applyNumberFormat="1" applyBorder="1" applyAlignment="1">
      <alignment/>
    </xf>
    <xf numFmtId="37" fontId="0" fillId="0" borderId="36" xfId="42" applyNumberFormat="1" applyFont="1" applyBorder="1" applyAlignment="1">
      <alignment/>
    </xf>
    <xf numFmtId="43" fontId="0" fillId="0" borderId="36" xfId="42" applyFont="1" applyBorder="1" applyAlignment="1">
      <alignment/>
    </xf>
    <xf numFmtId="43" fontId="0" fillId="0" borderId="36" xfId="0" applyNumberFormat="1" applyBorder="1" applyAlignment="1">
      <alignment/>
    </xf>
    <xf numFmtId="20" fontId="3" fillId="0" borderId="36" xfId="0" applyNumberFormat="1" applyFont="1" applyFill="1" applyBorder="1" applyAlignment="1">
      <alignment/>
    </xf>
    <xf numFmtId="166" fontId="0" fillId="0" borderId="0" xfId="42" applyNumberFormat="1" applyFont="1" applyAlignment="1">
      <alignment/>
    </xf>
    <xf numFmtId="0" fontId="0" fillId="0" borderId="37" xfId="0" applyBorder="1" applyAlignment="1">
      <alignment/>
    </xf>
    <xf numFmtId="0" fontId="0" fillId="0" borderId="37" xfId="0" applyFont="1" applyFill="1" applyBorder="1" applyAlignment="1">
      <alignment wrapText="1"/>
    </xf>
    <xf numFmtId="166" fontId="0" fillId="0" borderId="37" xfId="42" applyNumberFormat="1" applyFont="1" applyFill="1" applyBorder="1" applyAlignment="1">
      <alignment wrapText="1"/>
    </xf>
    <xf numFmtId="43" fontId="0" fillId="0" borderId="37" xfId="42" applyFont="1" applyBorder="1" applyAlignment="1">
      <alignment/>
    </xf>
    <xf numFmtId="0" fontId="0" fillId="0" borderId="37" xfId="0" applyBorder="1" applyAlignment="1">
      <alignment wrapText="1"/>
    </xf>
    <xf numFmtId="183" fontId="0" fillId="0" borderId="37" xfId="42" applyNumberFormat="1" applyFont="1" applyBorder="1" applyAlignment="1">
      <alignment/>
    </xf>
    <xf numFmtId="16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39" xfId="0" applyFill="1" applyBorder="1" applyAlignment="1">
      <alignment wrapText="1"/>
    </xf>
    <xf numFmtId="37" fontId="2" fillId="0" borderId="39" xfId="42" applyNumberFormat="1" applyFont="1" applyBorder="1" applyAlignment="1">
      <alignment/>
    </xf>
    <xf numFmtId="43" fontId="0" fillId="0" borderId="39" xfId="42" applyFont="1" applyBorder="1" applyAlignment="1">
      <alignment/>
    </xf>
    <xf numFmtId="0" fontId="0" fillId="0" borderId="26" xfId="0" applyBorder="1" applyAlignment="1">
      <alignment/>
    </xf>
    <xf numFmtId="167" fontId="0" fillId="0" borderId="40" xfId="0" applyNumberFormat="1" applyBorder="1" applyAlignment="1">
      <alignment/>
    </xf>
    <xf numFmtId="43" fontId="0" fillId="0" borderId="27" xfId="42" applyFont="1" applyBorder="1" applyAlignment="1">
      <alignment/>
    </xf>
    <xf numFmtId="1" fontId="2" fillId="0" borderId="41" xfId="0" applyNumberFormat="1" applyFont="1" applyBorder="1" applyAlignment="1">
      <alignment/>
    </xf>
    <xf numFmtId="43" fontId="0" fillId="0" borderId="42" xfId="42" applyFont="1" applyBorder="1" applyAlignment="1">
      <alignment/>
    </xf>
    <xf numFmtId="1" fontId="2" fillId="0" borderId="43" xfId="0" applyNumberFormat="1" applyFont="1" applyBorder="1" applyAlignment="1">
      <alignment/>
    </xf>
    <xf numFmtId="43" fontId="0" fillId="0" borderId="44" xfId="42" applyFont="1" applyBorder="1" applyAlignment="1">
      <alignment/>
    </xf>
    <xf numFmtId="43" fontId="0" fillId="0" borderId="45" xfId="42" applyNumberFormat="1" applyFont="1" applyBorder="1" applyAlignment="1">
      <alignment/>
    </xf>
    <xf numFmtId="0" fontId="0" fillId="0" borderId="46" xfId="0" applyBorder="1" applyAlignment="1">
      <alignment/>
    </xf>
    <xf numFmtId="43" fontId="0" fillId="0" borderId="47" xfId="42" applyNumberFormat="1" applyFont="1" applyBorder="1" applyAlignment="1">
      <alignment/>
    </xf>
    <xf numFmtId="43" fontId="0" fillId="0" borderId="34" xfId="42" applyNumberFormat="1" applyFont="1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20" fontId="0" fillId="0" borderId="0" xfId="0" applyNumberFormat="1" applyAlignment="1">
      <alignment/>
    </xf>
    <xf numFmtId="167" fontId="0" fillId="0" borderId="34" xfId="0" applyNumberFormat="1" applyBorder="1" applyAlignment="1">
      <alignment/>
    </xf>
    <xf numFmtId="0" fontId="2" fillId="0" borderId="51" xfId="0" applyFont="1" applyBorder="1" applyAlignment="1">
      <alignment horizontal="left"/>
    </xf>
    <xf numFmtId="184" fontId="0" fillId="0" borderId="52" xfId="0" applyNumberFormat="1" applyBorder="1" applyAlignment="1">
      <alignment/>
    </xf>
    <xf numFmtId="184" fontId="0" fillId="0" borderId="53" xfId="0" applyNumberFormat="1" applyBorder="1" applyAlignment="1">
      <alignment/>
    </xf>
    <xf numFmtId="184" fontId="0" fillId="0" borderId="54" xfId="0" applyNumberFormat="1" applyBorder="1" applyAlignment="1">
      <alignment/>
    </xf>
    <xf numFmtId="184" fontId="0" fillId="0" borderId="55" xfId="0" applyNumberFormat="1" applyBorder="1" applyAlignment="1">
      <alignment/>
    </xf>
    <xf numFmtId="184" fontId="0" fillId="0" borderId="56" xfId="0" applyNumberFormat="1" applyBorder="1" applyAlignment="1">
      <alignment/>
    </xf>
    <xf numFmtId="184" fontId="0" fillId="0" borderId="57" xfId="0" applyNumberFormat="1" applyBorder="1" applyAlignment="1">
      <alignment/>
    </xf>
    <xf numFmtId="184" fontId="0" fillId="0" borderId="58" xfId="0" applyNumberFormat="1" applyBorder="1" applyAlignment="1">
      <alignment/>
    </xf>
    <xf numFmtId="0" fontId="2" fillId="0" borderId="59" xfId="0" applyFont="1" applyBorder="1" applyAlignment="1">
      <alignment wrapText="1"/>
    </xf>
    <xf numFmtId="0" fontId="8" fillId="0" borderId="60" xfId="0" applyFont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3" fontId="5" fillId="0" borderId="0" xfId="42" applyFont="1" applyBorder="1" applyAlignment="1">
      <alignment/>
    </xf>
    <xf numFmtId="43" fontId="5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20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37" fontId="10" fillId="0" borderId="0" xfId="42" applyNumberFormat="1" applyFont="1" applyBorder="1" applyAlignment="1">
      <alignment/>
    </xf>
    <xf numFmtId="43" fontId="5" fillId="0" borderId="0" xfId="42" applyFont="1" applyBorder="1" applyAlignment="1">
      <alignment/>
    </xf>
    <xf numFmtId="20" fontId="11" fillId="0" borderId="0" xfId="0" applyNumberFormat="1" applyFont="1" applyFill="1" applyBorder="1" applyAlignment="1">
      <alignment/>
    </xf>
    <xf numFmtId="18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166" fontId="5" fillId="0" borderId="0" xfId="42" applyNumberFormat="1" applyFont="1" applyFill="1" applyBorder="1" applyAlignment="1">
      <alignment wrapText="1"/>
    </xf>
    <xf numFmtId="167" fontId="5" fillId="0" borderId="0" xfId="0" applyNumberFormat="1" applyFont="1" applyBorder="1" applyAlignment="1">
      <alignment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183" fontId="5" fillId="0" borderId="0" xfId="42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84" fontId="2" fillId="0" borderId="61" xfId="0" applyNumberFormat="1" applyFont="1" applyBorder="1" applyAlignment="1">
      <alignment horizontal="right"/>
    </xf>
    <xf numFmtId="43" fontId="7" fillId="33" borderId="10" xfId="42" applyFont="1" applyFill="1" applyBorder="1" applyAlignment="1">
      <alignment/>
    </xf>
    <xf numFmtId="43" fontId="7" fillId="33" borderId="10" xfId="0" applyNumberFormat="1" applyFont="1" applyFill="1" applyBorder="1" applyAlignment="1">
      <alignment/>
    </xf>
    <xf numFmtId="43" fontId="7" fillId="33" borderId="26" xfId="42" applyFont="1" applyFill="1" applyBorder="1" applyAlignment="1">
      <alignment/>
    </xf>
    <xf numFmtId="43" fontId="7" fillId="33" borderId="26" xfId="0" applyNumberFormat="1" applyFont="1" applyFill="1" applyBorder="1" applyAlignment="1">
      <alignment/>
    </xf>
    <xf numFmtId="1" fontId="7" fillId="33" borderId="35" xfId="0" applyNumberFormat="1" applyFont="1" applyFill="1" applyBorder="1" applyAlignment="1">
      <alignment/>
    </xf>
    <xf numFmtId="1" fontId="7" fillId="33" borderId="34" xfId="0" applyNumberFormat="1" applyFont="1" applyFill="1" applyBorder="1" applyAlignment="1">
      <alignment/>
    </xf>
    <xf numFmtId="43" fontId="7" fillId="33" borderId="27" xfId="42" applyFont="1" applyFill="1" applyBorder="1" applyAlignment="1">
      <alignment/>
    </xf>
    <xf numFmtId="43" fontId="7" fillId="33" borderId="27" xfId="0" applyNumberFormat="1" applyFont="1" applyFill="1" applyBorder="1" applyAlignment="1">
      <alignment/>
    </xf>
    <xf numFmtId="43" fontId="7" fillId="33" borderId="30" xfId="42" applyFont="1" applyFill="1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20" fontId="12" fillId="0" borderId="63" xfId="0" applyNumberFormat="1" applyFont="1" applyBorder="1" applyAlignment="1">
      <alignment horizontal="left" vertical="center"/>
    </xf>
    <xf numFmtId="0" fontId="0" fillId="0" borderId="63" xfId="0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wrapText="1"/>
    </xf>
    <xf numFmtId="0" fontId="15" fillId="0" borderId="64" xfId="0" applyFont="1" applyBorder="1" applyAlignment="1">
      <alignment horizontal="center"/>
    </xf>
    <xf numFmtId="20" fontId="16" fillId="33" borderId="65" xfId="0" applyNumberFormat="1" applyFont="1" applyFill="1" applyBorder="1" applyAlignment="1">
      <alignment/>
    </xf>
    <xf numFmtId="20" fontId="16" fillId="33" borderId="66" xfId="0" applyNumberFormat="1" applyFont="1" applyFill="1" applyBorder="1" applyAlignment="1">
      <alignment/>
    </xf>
    <xf numFmtId="20" fontId="16" fillId="33" borderId="67" xfId="0" applyNumberFormat="1" applyFont="1" applyFill="1" applyBorder="1" applyAlignment="1">
      <alignment/>
    </xf>
    <xf numFmtId="20" fontId="16" fillId="33" borderId="68" xfId="0" applyNumberFormat="1" applyFont="1" applyFill="1" applyBorder="1" applyAlignment="1">
      <alignment/>
    </xf>
    <xf numFmtId="20" fontId="16" fillId="33" borderId="69" xfId="0" applyNumberFormat="1" applyFont="1" applyFill="1" applyBorder="1" applyAlignment="1">
      <alignment/>
    </xf>
    <xf numFmtId="1" fontId="8" fillId="33" borderId="70" xfId="0" applyNumberFormat="1" applyFont="1" applyFill="1" applyBorder="1" applyAlignment="1">
      <alignment/>
    </xf>
    <xf numFmtId="43" fontId="7" fillId="33" borderId="71" xfId="42" applyFont="1" applyFill="1" applyBorder="1" applyAlignment="1">
      <alignment/>
    </xf>
    <xf numFmtId="1" fontId="7" fillId="33" borderId="72" xfId="0" applyNumberFormat="1" applyFont="1" applyFill="1" applyBorder="1" applyAlignment="1">
      <alignment/>
    </xf>
    <xf numFmtId="0" fontId="8" fillId="33" borderId="73" xfId="0" applyFont="1" applyFill="1" applyBorder="1" applyAlignment="1">
      <alignment wrapText="1"/>
    </xf>
    <xf numFmtId="37" fontId="8" fillId="33" borderId="73" xfId="42" applyNumberFormat="1" applyFont="1" applyFill="1" applyBorder="1" applyAlignment="1">
      <alignment/>
    </xf>
    <xf numFmtId="43" fontId="7" fillId="33" borderId="73" xfId="42" applyFont="1" applyFill="1" applyBorder="1" applyAlignment="1">
      <alignment/>
    </xf>
    <xf numFmtId="0" fontId="8" fillId="0" borderId="74" xfId="0" applyFont="1" applyBorder="1" applyAlignment="1">
      <alignment wrapText="1"/>
    </xf>
    <xf numFmtId="1" fontId="2" fillId="0" borderId="42" xfId="0" applyNumberFormat="1" applyFont="1" applyBorder="1" applyAlignment="1">
      <alignment/>
    </xf>
    <xf numFmtId="0" fontId="8" fillId="0" borderId="75" xfId="0" applyFont="1" applyBorder="1" applyAlignment="1">
      <alignment wrapText="1"/>
    </xf>
    <xf numFmtId="1" fontId="2" fillId="0" borderId="44" xfId="0" applyNumberFormat="1" applyFont="1" applyBorder="1" applyAlignment="1">
      <alignment/>
    </xf>
    <xf numFmtId="0" fontId="15" fillId="0" borderId="76" xfId="0" applyFont="1" applyBorder="1" applyAlignment="1">
      <alignment horizontal="center"/>
    </xf>
    <xf numFmtId="20" fontId="15" fillId="0" borderId="77" xfId="0" applyNumberFormat="1" applyFont="1" applyBorder="1" applyAlignment="1">
      <alignment/>
    </xf>
    <xf numFmtId="20" fontId="15" fillId="0" borderId="65" xfId="0" applyNumberFormat="1" applyFont="1" applyBorder="1" applyAlignment="1">
      <alignment/>
    </xf>
    <xf numFmtId="20" fontId="15" fillId="0" borderId="66" xfId="0" applyNumberFormat="1" applyFont="1" applyBorder="1" applyAlignment="1">
      <alignment/>
    </xf>
    <xf numFmtId="20" fontId="15" fillId="0" borderId="69" xfId="0" applyNumberFormat="1" applyFont="1" applyBorder="1" applyAlignment="1">
      <alignment/>
    </xf>
    <xf numFmtId="20" fontId="15" fillId="0" borderId="66" xfId="0" applyNumberFormat="1" applyFont="1" applyFill="1" applyBorder="1" applyAlignment="1">
      <alignment/>
    </xf>
    <xf numFmtId="20" fontId="15" fillId="0" borderId="69" xfId="0" applyNumberFormat="1" applyFont="1" applyFill="1" applyBorder="1" applyAlignment="1">
      <alignment/>
    </xf>
    <xf numFmtId="20" fontId="15" fillId="0" borderId="77" xfId="0" applyNumberFormat="1" applyFont="1" applyFill="1" applyBorder="1" applyAlignment="1">
      <alignment/>
    </xf>
    <xf numFmtId="20" fontId="15" fillId="0" borderId="65" xfId="0" applyNumberFormat="1" applyFont="1" applyFill="1" applyBorder="1" applyAlignment="1">
      <alignment/>
    </xf>
    <xf numFmtId="20" fontId="15" fillId="0" borderId="78" xfId="0" applyNumberFormat="1" applyFont="1" applyFill="1" applyBorder="1" applyAlignment="1">
      <alignment/>
    </xf>
    <xf numFmtId="20" fontId="15" fillId="0" borderId="68" xfId="0" applyNumberFormat="1" applyFont="1" applyBorder="1" applyAlignment="1">
      <alignment/>
    </xf>
    <xf numFmtId="20" fontId="16" fillId="33" borderId="77" xfId="0" applyNumberFormat="1" applyFont="1" applyFill="1" applyBorder="1" applyAlignment="1">
      <alignment/>
    </xf>
    <xf numFmtId="20" fontId="3" fillId="0" borderId="79" xfId="0" applyNumberFormat="1" applyFont="1" applyFill="1" applyBorder="1" applyAlignment="1">
      <alignment/>
    </xf>
    <xf numFmtId="20" fontId="3" fillId="0" borderId="8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37" fontId="8" fillId="33" borderId="81" xfId="42" applyNumberFormat="1" applyFont="1" applyFill="1" applyBorder="1" applyAlignment="1">
      <alignment/>
    </xf>
    <xf numFmtId="37" fontId="8" fillId="33" borderId="82" xfId="42" applyNumberFormat="1" applyFont="1" applyFill="1" applyBorder="1" applyAlignment="1">
      <alignment/>
    </xf>
    <xf numFmtId="43" fontId="7" fillId="33" borderId="83" xfId="42" applyFont="1" applyFill="1" applyBorder="1" applyAlignment="1">
      <alignment/>
    </xf>
    <xf numFmtId="1" fontId="0" fillId="0" borderId="72" xfId="0" applyNumberFormat="1" applyBorder="1" applyAlignment="1">
      <alignment/>
    </xf>
    <xf numFmtId="0" fontId="20" fillId="0" borderId="0" xfId="0" applyFont="1" applyAlignment="1">
      <alignment/>
    </xf>
    <xf numFmtId="20" fontId="16" fillId="0" borderId="65" xfId="0" applyNumberFormat="1" applyFont="1" applyFill="1" applyBorder="1" applyAlignment="1">
      <alignment/>
    </xf>
    <xf numFmtId="0" fontId="15" fillId="0" borderId="84" xfId="0" applyFont="1" applyBorder="1" applyAlignment="1">
      <alignment horizontal="center"/>
    </xf>
    <xf numFmtId="20" fontId="3" fillId="0" borderId="85" xfId="0" applyNumberFormat="1" applyFont="1" applyBorder="1" applyAlignment="1">
      <alignment horizontal="center"/>
    </xf>
    <xf numFmtId="18" fontId="3" fillId="0" borderId="86" xfId="0" applyNumberFormat="1" applyFont="1" applyBorder="1" applyAlignment="1">
      <alignment horizontal="center"/>
    </xf>
    <xf numFmtId="18" fontId="3" fillId="0" borderId="87" xfId="0" applyNumberFormat="1" applyFont="1" applyBorder="1" applyAlignment="1">
      <alignment horizontal="center"/>
    </xf>
    <xf numFmtId="18" fontId="3" fillId="0" borderId="88" xfId="0" applyNumberFormat="1" applyFont="1" applyBorder="1" applyAlignment="1">
      <alignment horizontal="center"/>
    </xf>
    <xf numFmtId="18" fontId="3" fillId="0" borderId="89" xfId="0" applyNumberFormat="1" applyFont="1" applyBorder="1" applyAlignment="1">
      <alignment horizontal="center"/>
    </xf>
    <xf numFmtId="43" fontId="0" fillId="0" borderId="32" xfId="0" applyNumberFormat="1" applyBorder="1" applyAlignment="1">
      <alignment/>
    </xf>
    <xf numFmtId="43" fontId="0" fillId="0" borderId="40" xfId="0" applyNumberFormat="1" applyBorder="1" applyAlignment="1">
      <alignment/>
    </xf>
    <xf numFmtId="43" fontId="0" fillId="0" borderId="90" xfId="0" applyNumberFormat="1" applyBorder="1" applyAlignment="1">
      <alignment/>
    </xf>
    <xf numFmtId="43" fontId="0" fillId="0" borderId="31" xfId="0" applyNumberFormat="1" applyBorder="1" applyAlignment="1">
      <alignment/>
    </xf>
    <xf numFmtId="43" fontId="0" fillId="0" borderId="91" xfId="0" applyNumberFormat="1" applyBorder="1" applyAlignment="1">
      <alignment/>
    </xf>
    <xf numFmtId="43" fontId="0" fillId="0" borderId="33" xfId="0" applyNumberFormat="1" applyBorder="1" applyAlignment="1">
      <alignment/>
    </xf>
    <xf numFmtId="43" fontId="7" fillId="33" borderId="32" xfId="0" applyNumberFormat="1" applyFont="1" applyFill="1" applyBorder="1" applyAlignment="1">
      <alignment/>
    </xf>
    <xf numFmtId="43" fontId="7" fillId="33" borderId="40" xfId="0" applyNumberFormat="1" applyFont="1" applyFill="1" applyBorder="1" applyAlignment="1">
      <alignment/>
    </xf>
    <xf numFmtId="43" fontId="7" fillId="33" borderId="92" xfId="0" applyNumberFormat="1" applyFont="1" applyFill="1" applyBorder="1" applyAlignment="1">
      <alignment/>
    </xf>
    <xf numFmtId="43" fontId="7" fillId="33" borderId="31" xfId="0" applyNumberFormat="1" applyFont="1" applyFill="1" applyBorder="1" applyAlignment="1">
      <alignment/>
    </xf>
    <xf numFmtId="43" fontId="7" fillId="33" borderId="93" xfId="0" applyNumberFormat="1" applyFont="1" applyFill="1" applyBorder="1" applyAlignment="1">
      <alignment/>
    </xf>
    <xf numFmtId="43" fontId="7" fillId="33" borderId="94" xfId="0" applyNumberFormat="1" applyFont="1" applyFill="1" applyBorder="1" applyAlignment="1">
      <alignment/>
    </xf>
    <xf numFmtId="43" fontId="7" fillId="33" borderId="33" xfId="0" applyNumberFormat="1" applyFont="1" applyFill="1" applyBorder="1" applyAlignment="1">
      <alignment/>
    </xf>
    <xf numFmtId="43" fontId="0" fillId="0" borderId="95" xfId="0" applyNumberFormat="1" applyBorder="1" applyAlignment="1">
      <alignment/>
    </xf>
    <xf numFmtId="43" fontId="0" fillId="0" borderId="96" xfId="0" applyNumberFormat="1" applyBorder="1" applyAlignment="1">
      <alignment/>
    </xf>
    <xf numFmtId="20" fontId="3" fillId="0" borderId="88" xfId="0" applyNumberFormat="1" applyFont="1" applyBorder="1" applyAlignment="1">
      <alignment horizontal="center"/>
    </xf>
    <xf numFmtId="20" fontId="3" fillId="0" borderId="97" xfId="0" applyNumberFormat="1" applyFont="1" applyBorder="1" applyAlignment="1">
      <alignment horizontal="center"/>
    </xf>
    <xf numFmtId="20" fontId="3" fillId="0" borderId="87" xfId="0" applyNumberFormat="1" applyFont="1" applyBorder="1" applyAlignment="1">
      <alignment horizontal="center"/>
    </xf>
    <xf numFmtId="18" fontId="3" fillId="0" borderId="98" xfId="0" applyNumberFormat="1" applyFont="1" applyBorder="1" applyAlignment="1">
      <alignment horizontal="center"/>
    </xf>
    <xf numFmtId="20" fontId="3" fillId="0" borderId="99" xfId="0" applyNumberFormat="1" applyFont="1" applyFill="1" applyBorder="1" applyAlignment="1">
      <alignment horizontal="center"/>
    </xf>
    <xf numFmtId="43" fontId="3" fillId="0" borderId="99" xfId="0" applyNumberFormat="1" applyFont="1" applyFill="1" applyBorder="1" applyAlignment="1">
      <alignment/>
    </xf>
    <xf numFmtId="43" fontId="0" fillId="0" borderId="99" xfId="0" applyNumberFormat="1" applyBorder="1" applyAlignment="1">
      <alignment/>
    </xf>
    <xf numFmtId="43" fontId="0" fillId="0" borderId="100" xfId="0" applyNumberFormat="1" applyBorder="1" applyAlignment="1">
      <alignment/>
    </xf>
    <xf numFmtId="18" fontId="16" fillId="33" borderId="88" xfId="0" applyNumberFormat="1" applyFont="1" applyFill="1" applyBorder="1" applyAlignment="1">
      <alignment horizontal="center"/>
    </xf>
    <xf numFmtId="18" fontId="16" fillId="33" borderId="89" xfId="0" applyNumberFormat="1" applyFont="1" applyFill="1" applyBorder="1" applyAlignment="1">
      <alignment horizontal="center"/>
    </xf>
    <xf numFmtId="18" fontId="16" fillId="33" borderId="86" xfId="0" applyNumberFormat="1" applyFont="1" applyFill="1" applyBorder="1" applyAlignment="1">
      <alignment horizontal="center"/>
    </xf>
    <xf numFmtId="18" fontId="16" fillId="33" borderId="98" xfId="0" applyNumberFormat="1" applyFont="1" applyFill="1" applyBorder="1" applyAlignment="1">
      <alignment horizontal="center"/>
    </xf>
    <xf numFmtId="18" fontId="16" fillId="33" borderId="87" xfId="0" applyNumberFormat="1" applyFont="1" applyFill="1" applyBorder="1" applyAlignment="1">
      <alignment horizontal="center"/>
    </xf>
    <xf numFmtId="18" fontId="16" fillId="33" borderId="101" xfId="0" applyNumberFormat="1" applyFont="1" applyFill="1" applyBorder="1" applyAlignment="1">
      <alignment horizontal="center"/>
    </xf>
    <xf numFmtId="20" fontId="16" fillId="33" borderId="88" xfId="0" applyNumberFormat="1" applyFont="1" applyFill="1" applyBorder="1" applyAlignment="1">
      <alignment horizontal="center"/>
    </xf>
    <xf numFmtId="20" fontId="16" fillId="33" borderId="89" xfId="0" applyNumberFormat="1" applyFont="1" applyFill="1" applyBorder="1" applyAlignment="1">
      <alignment horizontal="center"/>
    </xf>
    <xf numFmtId="20" fontId="16" fillId="33" borderId="101" xfId="0" applyNumberFormat="1" applyFont="1" applyFill="1" applyBorder="1" applyAlignment="1">
      <alignment horizontal="center"/>
    </xf>
    <xf numFmtId="184" fontId="8" fillId="33" borderId="53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67" fontId="8" fillId="33" borderId="32" xfId="0" applyNumberFormat="1" applyFont="1" applyFill="1" applyBorder="1" applyAlignment="1">
      <alignment/>
    </xf>
    <xf numFmtId="184" fontId="8" fillId="33" borderId="54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167" fontId="8" fillId="33" borderId="40" xfId="0" applyNumberFormat="1" applyFont="1" applyFill="1" applyBorder="1" applyAlignment="1">
      <alignment/>
    </xf>
    <xf numFmtId="184" fontId="8" fillId="33" borderId="57" xfId="0" applyNumberFormat="1" applyFont="1" applyFill="1" applyBorder="1" applyAlignment="1">
      <alignment/>
    </xf>
    <xf numFmtId="0" fontId="8" fillId="33" borderId="30" xfId="0" applyFont="1" applyFill="1" applyBorder="1" applyAlignment="1">
      <alignment/>
    </xf>
    <xf numFmtId="167" fontId="8" fillId="33" borderId="31" xfId="0" applyNumberFormat="1" applyFont="1" applyFill="1" applyBorder="1" applyAlignment="1">
      <alignment/>
    </xf>
    <xf numFmtId="184" fontId="8" fillId="33" borderId="52" xfId="0" applyNumberFormat="1" applyFont="1" applyFill="1" applyBorder="1" applyAlignment="1">
      <alignment/>
    </xf>
    <xf numFmtId="0" fontId="8" fillId="33" borderId="27" xfId="0" applyFont="1" applyFill="1" applyBorder="1" applyAlignment="1">
      <alignment/>
    </xf>
    <xf numFmtId="166" fontId="8" fillId="33" borderId="31" xfId="42" applyNumberFormat="1" applyFont="1" applyFill="1" applyBorder="1" applyAlignment="1">
      <alignment/>
    </xf>
    <xf numFmtId="166" fontId="8" fillId="33" borderId="32" xfId="42" applyNumberFormat="1" applyFont="1" applyFill="1" applyBorder="1" applyAlignment="1">
      <alignment/>
    </xf>
    <xf numFmtId="166" fontId="8" fillId="33" borderId="40" xfId="42" applyNumberFormat="1" applyFont="1" applyFill="1" applyBorder="1" applyAlignment="1">
      <alignment/>
    </xf>
    <xf numFmtId="166" fontId="8" fillId="33" borderId="33" xfId="42" applyNumberFormat="1" applyFont="1" applyFill="1" applyBorder="1" applyAlignment="1">
      <alignment/>
    </xf>
    <xf numFmtId="184" fontId="8" fillId="33" borderId="56" xfId="0" applyNumberFormat="1" applyFont="1" applyFill="1" applyBorder="1" applyAlignment="1">
      <alignment/>
    </xf>
    <xf numFmtId="167" fontId="0" fillId="0" borderId="37" xfId="42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8" fillId="33" borderId="27" xfId="0" applyFont="1" applyFill="1" applyBorder="1" applyAlignment="1">
      <alignment wrapText="1"/>
    </xf>
    <xf numFmtId="0" fontId="0" fillId="0" borderId="0" xfId="0" applyBorder="1" applyAlignment="1">
      <alignment wrapText="1"/>
    </xf>
    <xf numFmtId="1" fontId="2" fillId="0" borderId="102" xfId="0" applyNumberFormat="1" applyFont="1" applyBorder="1" applyAlignment="1">
      <alignment/>
    </xf>
    <xf numFmtId="43" fontId="0" fillId="0" borderId="103" xfId="42" applyFont="1" applyBorder="1" applyAlignment="1">
      <alignment/>
    </xf>
    <xf numFmtId="43" fontId="0" fillId="0" borderId="104" xfId="0" applyNumberFormat="1" applyBorder="1" applyAlignment="1">
      <alignment/>
    </xf>
    <xf numFmtId="20" fontId="15" fillId="0" borderId="105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6" xfId="0" applyFont="1" applyBorder="1" applyAlignment="1">
      <alignment/>
    </xf>
    <xf numFmtId="0" fontId="0" fillId="0" borderId="106" xfId="0" applyBorder="1" applyAlignment="1">
      <alignment/>
    </xf>
    <xf numFmtId="0" fontId="2" fillId="0" borderId="90" xfId="0" applyFont="1" applyBorder="1" applyAlignment="1">
      <alignment wrapText="1"/>
    </xf>
    <xf numFmtId="0" fontId="0" fillId="0" borderId="107" xfId="0" applyBorder="1" applyAlignment="1">
      <alignment wrapText="1"/>
    </xf>
    <xf numFmtId="0" fontId="9" fillId="0" borderId="90" xfId="0" applyFont="1" applyBorder="1" applyAlignment="1">
      <alignment wrapText="1"/>
    </xf>
    <xf numFmtId="0" fontId="9" fillId="0" borderId="91" xfId="0" applyFont="1" applyBorder="1" applyAlignment="1">
      <alignment wrapText="1"/>
    </xf>
    <xf numFmtId="0" fontId="0" fillId="0" borderId="108" xfId="0" applyBorder="1" applyAlignment="1">
      <alignment wrapText="1"/>
    </xf>
    <xf numFmtId="0" fontId="0" fillId="0" borderId="60" xfId="0" applyBorder="1" applyAlignment="1">
      <alignment wrapText="1"/>
    </xf>
    <xf numFmtId="0" fontId="9" fillId="33" borderId="44" xfId="0" applyFont="1" applyFill="1" applyBorder="1" applyAlignment="1">
      <alignment wrapText="1"/>
    </xf>
    <xf numFmtId="0" fontId="0" fillId="33" borderId="44" xfId="0" applyFill="1" applyBorder="1" applyAlignment="1">
      <alignment wrapText="1"/>
    </xf>
    <xf numFmtId="0" fontId="8" fillId="33" borderId="91" xfId="0" applyFont="1" applyFill="1" applyBorder="1" applyAlignment="1">
      <alignment wrapText="1"/>
    </xf>
    <xf numFmtId="0" fontId="8" fillId="33" borderId="108" xfId="0" applyFont="1" applyFill="1" applyBorder="1" applyAlignment="1">
      <alignment wrapText="1"/>
    </xf>
    <xf numFmtId="0" fontId="9" fillId="33" borderId="109" xfId="0" applyFont="1" applyFill="1" applyBorder="1" applyAlignment="1">
      <alignment wrapText="1"/>
    </xf>
    <xf numFmtId="0" fontId="0" fillId="33" borderId="110" xfId="0" applyFill="1" applyBorder="1" applyAlignment="1">
      <alignment wrapText="1"/>
    </xf>
    <xf numFmtId="0" fontId="0" fillId="0" borderId="111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CC"/>
      <rgbColor rgb="00FFFFCC"/>
      <rgbColor rgb="00CCFFFF"/>
      <rgbColor rgb="00660066"/>
      <rgbColor rgb="00FF8080"/>
      <rgbColor rgb="000066CC"/>
      <rgbColor rgb="00CCCCFF"/>
      <rgbColor rgb="00EBFFFD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352425</xdr:colOff>
      <xdr:row>105</xdr:row>
      <xdr:rowOff>76200</xdr:rowOff>
    </xdr:from>
    <xdr:to>
      <xdr:col>18</xdr:col>
      <xdr:colOff>476250</xdr:colOff>
      <xdr:row>105</xdr:row>
      <xdr:rowOff>76200</xdr:rowOff>
    </xdr:to>
    <xdr:sp>
      <xdr:nvSpPr>
        <xdr:cNvPr id="1" name="Line 2"/>
        <xdr:cNvSpPr>
          <a:spLocks/>
        </xdr:cNvSpPr>
      </xdr:nvSpPr>
      <xdr:spPr>
        <a:xfrm>
          <a:off x="7239000" y="19821525"/>
          <a:ext cx="1304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113</xdr:row>
      <xdr:rowOff>114300</xdr:rowOff>
    </xdr:from>
    <xdr:to>
      <xdr:col>18</xdr:col>
      <xdr:colOff>47625</xdr:colOff>
      <xdr:row>113</xdr:row>
      <xdr:rowOff>114300</xdr:rowOff>
    </xdr:to>
    <xdr:sp>
      <xdr:nvSpPr>
        <xdr:cNvPr id="2" name="Line 3"/>
        <xdr:cNvSpPr>
          <a:spLocks/>
        </xdr:cNvSpPr>
      </xdr:nvSpPr>
      <xdr:spPr>
        <a:xfrm>
          <a:off x="7667625" y="2132647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209550</xdr:colOff>
      <xdr:row>121</xdr:row>
      <xdr:rowOff>76200</xdr:rowOff>
    </xdr:from>
    <xdr:to>
      <xdr:col>18</xdr:col>
      <xdr:colOff>523875</xdr:colOff>
      <xdr:row>121</xdr:row>
      <xdr:rowOff>76200</xdr:rowOff>
    </xdr:to>
    <xdr:sp>
      <xdr:nvSpPr>
        <xdr:cNvPr id="3" name="Line 4"/>
        <xdr:cNvSpPr>
          <a:spLocks/>
        </xdr:cNvSpPr>
      </xdr:nvSpPr>
      <xdr:spPr>
        <a:xfrm>
          <a:off x="7096125" y="22812375"/>
          <a:ext cx="1495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9"/>
  <sheetViews>
    <sheetView tabSelected="1" workbookViewId="0" topLeftCell="A1">
      <selection activeCell="P5" sqref="P5"/>
    </sheetView>
  </sheetViews>
  <sheetFormatPr defaultColWidth="8.8515625" defaultRowHeight="12.75"/>
  <cols>
    <col min="1" max="1" width="0.9921875" style="0" customWidth="1"/>
    <col min="2" max="2" width="10.421875" style="0" customWidth="1"/>
    <col min="3" max="3" width="8.8515625" style="0" customWidth="1"/>
    <col min="4" max="4" width="29.28125" style="0" customWidth="1"/>
    <col min="5" max="5" width="8.140625" style="0" customWidth="1"/>
    <col min="6" max="8" width="8.7109375" style="0" hidden="1" customWidth="1"/>
    <col min="9" max="9" width="10.28125" style="0" customWidth="1"/>
    <col min="10" max="10" width="9.28125" style="0" hidden="1" customWidth="1"/>
    <col min="11" max="11" width="3.7109375" style="0" customWidth="1"/>
    <col min="12" max="12" width="8.8515625" style="0" customWidth="1"/>
    <col min="13" max="13" width="13.8515625" style="0" customWidth="1"/>
    <col min="14" max="14" width="10.28125" style="0" hidden="1" customWidth="1"/>
    <col min="15" max="15" width="0" style="0" hidden="1" customWidth="1"/>
    <col min="16" max="26" width="8.8515625" style="0" customWidth="1"/>
    <col min="27" max="27" width="29.8515625" style="0" customWidth="1"/>
  </cols>
  <sheetData>
    <row r="1" ht="16.5">
      <c r="B1" s="31" t="s">
        <v>168</v>
      </c>
    </row>
    <row r="2" spans="2:16" ht="15">
      <c r="B2" s="41" t="s">
        <v>169</v>
      </c>
      <c r="J2" s="18">
        <v>0.03125</v>
      </c>
      <c r="M2" s="17"/>
      <c r="N2" s="17"/>
      <c r="O2" s="17"/>
      <c r="P2" s="10"/>
    </row>
    <row r="3" spans="2:16" ht="15.75" thickBot="1">
      <c r="B3" s="252" t="s">
        <v>170</v>
      </c>
      <c r="C3" s="253"/>
      <c r="D3" s="253"/>
      <c r="E3" s="253"/>
      <c r="M3" s="17"/>
      <c r="N3" s="17"/>
      <c r="O3" s="17"/>
      <c r="P3" s="10"/>
    </row>
    <row r="4" spans="2:16" ht="12">
      <c r="B4" s="22" t="s">
        <v>139</v>
      </c>
      <c r="C4" s="23"/>
      <c r="D4" s="23"/>
      <c r="E4" s="24"/>
      <c r="F4" s="25" t="s">
        <v>43</v>
      </c>
      <c r="G4" s="25" t="s">
        <v>43</v>
      </c>
      <c r="H4" s="25" t="s">
        <v>44</v>
      </c>
      <c r="I4" s="32" t="s">
        <v>45</v>
      </c>
      <c r="J4" s="188" t="s">
        <v>45</v>
      </c>
      <c r="K4" s="3"/>
      <c r="L4" s="3" t="s">
        <v>76</v>
      </c>
      <c r="M4" s="10"/>
      <c r="N4" s="10"/>
      <c r="O4" s="10"/>
      <c r="P4" s="17"/>
    </row>
    <row r="5" spans="2:16" ht="12.75" thickBot="1">
      <c r="B5" s="28" t="s">
        <v>80</v>
      </c>
      <c r="C5" s="20" t="s">
        <v>5</v>
      </c>
      <c r="D5" s="21" t="s">
        <v>42</v>
      </c>
      <c r="E5" s="26" t="s">
        <v>31</v>
      </c>
      <c r="F5" s="27" t="s">
        <v>46</v>
      </c>
      <c r="G5" s="27" t="s">
        <v>47</v>
      </c>
      <c r="H5" s="27" t="s">
        <v>43</v>
      </c>
      <c r="I5" s="33" t="s">
        <v>48</v>
      </c>
      <c r="J5" s="167" t="s">
        <v>140</v>
      </c>
      <c r="K5" s="17"/>
      <c r="L5" s="15" t="s">
        <v>77</v>
      </c>
      <c r="M5" s="10"/>
      <c r="N5" s="10"/>
      <c r="O5" s="10"/>
      <c r="P5" s="17"/>
    </row>
    <row r="6" spans="2:15" ht="29.25" customHeight="1" thickBot="1">
      <c r="B6" s="130"/>
      <c r="C6" s="257" t="s">
        <v>112</v>
      </c>
      <c r="D6" s="258"/>
      <c r="E6" s="98"/>
      <c r="F6" s="76"/>
      <c r="G6" s="77"/>
      <c r="H6" s="198"/>
      <c r="I6" s="190">
        <v>0.3020833333333333</v>
      </c>
      <c r="J6" s="151"/>
      <c r="K6" s="17"/>
      <c r="L6" s="58">
        <v>0</v>
      </c>
      <c r="N6" s="48"/>
      <c r="O6" s="10"/>
    </row>
    <row r="7" spans="2:16" ht="12">
      <c r="B7" s="90">
        <v>0</v>
      </c>
      <c r="C7" s="30" t="s">
        <v>0</v>
      </c>
      <c r="D7" s="30" t="s">
        <v>81</v>
      </c>
      <c r="E7" s="36">
        <v>0.3</v>
      </c>
      <c r="F7" s="39">
        <f>+E7/L7*60</f>
        <v>1.3846153846153846</v>
      </c>
      <c r="G7" s="4">
        <f aca="true" t="shared" si="0" ref="G7:G71">+F7/60</f>
        <v>0.023076923076923075</v>
      </c>
      <c r="H7" s="194">
        <f aca="true" t="shared" si="1" ref="H7:H71">+H6+G7</f>
        <v>0.023076923076923075</v>
      </c>
      <c r="I7" s="209" t="str">
        <f aca="true" t="shared" si="2" ref="I7:I14">TEXT(I6+(E7/(L7*24)),"h:mm")</f>
        <v>7:16</v>
      </c>
      <c r="J7" s="168">
        <v>0.3333333333333333</v>
      </c>
      <c r="K7" s="18"/>
      <c r="L7" s="58">
        <v>13</v>
      </c>
      <c r="N7" s="48"/>
      <c r="O7" s="10"/>
      <c r="P7" s="10"/>
    </row>
    <row r="8" spans="2:16" ht="12">
      <c r="B8" s="91">
        <f aca="true" t="shared" si="3" ref="B8:B75">+B7+E7</f>
        <v>0.3</v>
      </c>
      <c r="C8" s="2" t="s">
        <v>1</v>
      </c>
      <c r="D8" s="2" t="s">
        <v>3</v>
      </c>
      <c r="E8" s="37">
        <v>0.7</v>
      </c>
      <c r="F8" s="39">
        <f aca="true" t="shared" si="4" ref="F8:F72">+E8/L8*60</f>
        <v>2.9999999999999996</v>
      </c>
      <c r="G8" s="4">
        <f t="shared" si="0"/>
        <v>0.049999999999999996</v>
      </c>
      <c r="H8" s="194">
        <f t="shared" si="1"/>
        <v>0.07307692307692307</v>
      </c>
      <c r="I8" s="209" t="str">
        <f t="shared" si="2"/>
        <v>7:19</v>
      </c>
      <c r="J8" s="169">
        <v>0.3361111111111111</v>
      </c>
      <c r="K8" s="18"/>
      <c r="L8" s="58">
        <v>14</v>
      </c>
      <c r="P8" s="87"/>
    </row>
    <row r="9" spans="2:16" ht="12">
      <c r="B9" s="91">
        <f t="shared" si="3"/>
        <v>1</v>
      </c>
      <c r="C9" s="2" t="s">
        <v>1</v>
      </c>
      <c r="D9" s="2" t="s">
        <v>4</v>
      </c>
      <c r="E9" s="37">
        <v>2.11</v>
      </c>
      <c r="F9" s="39">
        <f t="shared" si="4"/>
        <v>14.066666666666666</v>
      </c>
      <c r="G9" s="4">
        <f t="shared" si="0"/>
        <v>0.23444444444444443</v>
      </c>
      <c r="H9" s="194">
        <f t="shared" si="1"/>
        <v>0.3075213675213675</v>
      </c>
      <c r="I9" s="209" t="str">
        <f t="shared" si="2"/>
        <v>7:33</v>
      </c>
      <c r="J9" s="169">
        <v>0.3444444444444445</v>
      </c>
      <c r="K9" s="18"/>
      <c r="L9" s="58">
        <v>9</v>
      </c>
      <c r="P9" s="87"/>
    </row>
    <row r="10" spans="2:16" ht="12">
      <c r="B10" s="91">
        <f t="shared" si="3"/>
        <v>3.11</v>
      </c>
      <c r="C10" s="2" t="s">
        <v>1</v>
      </c>
      <c r="D10" s="2" t="s">
        <v>6</v>
      </c>
      <c r="E10" s="37">
        <v>5.95</v>
      </c>
      <c r="F10" s="39">
        <f t="shared" si="4"/>
        <v>22.3125</v>
      </c>
      <c r="G10" s="4">
        <f t="shared" si="0"/>
        <v>0.371875</v>
      </c>
      <c r="H10" s="194">
        <f t="shared" si="1"/>
        <v>0.6793963675213675</v>
      </c>
      <c r="I10" s="209" t="str">
        <f t="shared" si="2"/>
        <v>7:55</v>
      </c>
      <c r="J10" s="169">
        <v>0.3597222222222222</v>
      </c>
      <c r="K10" s="18"/>
      <c r="L10" s="58">
        <v>16</v>
      </c>
      <c r="P10" s="87"/>
    </row>
    <row r="11" spans="2:16" ht="12">
      <c r="B11" s="91">
        <f t="shared" si="3"/>
        <v>9.06</v>
      </c>
      <c r="C11" s="2" t="s">
        <v>1</v>
      </c>
      <c r="D11" s="2" t="s">
        <v>7</v>
      </c>
      <c r="E11" s="37">
        <v>5.42</v>
      </c>
      <c r="F11" s="39">
        <f t="shared" si="4"/>
        <v>23.228571428571428</v>
      </c>
      <c r="G11" s="4">
        <f t="shared" si="0"/>
        <v>0.3871428571428571</v>
      </c>
      <c r="H11" s="194">
        <f t="shared" si="1"/>
        <v>1.0665392246642247</v>
      </c>
      <c r="I11" s="209" t="str">
        <f t="shared" si="2"/>
        <v>8:18</v>
      </c>
      <c r="J11" s="169">
        <v>0.3756944444444445</v>
      </c>
      <c r="K11" s="18"/>
      <c r="L11" s="58">
        <v>14</v>
      </c>
      <c r="P11" s="87"/>
    </row>
    <row r="12" spans="2:16" ht="12">
      <c r="B12" s="91">
        <f t="shared" si="3"/>
        <v>14.48</v>
      </c>
      <c r="C12" s="2" t="s">
        <v>2</v>
      </c>
      <c r="D12" s="2" t="s">
        <v>8</v>
      </c>
      <c r="E12" s="37">
        <v>2.25</v>
      </c>
      <c r="F12" s="39">
        <f t="shared" si="4"/>
        <v>9.642857142857144</v>
      </c>
      <c r="G12" s="4">
        <f t="shared" si="0"/>
        <v>0.16071428571428573</v>
      </c>
      <c r="H12" s="194">
        <f t="shared" si="1"/>
        <v>1.2272535103785105</v>
      </c>
      <c r="I12" s="209" t="str">
        <f t="shared" si="2"/>
        <v>8:27</v>
      </c>
      <c r="J12" s="169">
        <v>0.3826388888888889</v>
      </c>
      <c r="K12" s="18"/>
      <c r="L12" s="58">
        <v>14</v>
      </c>
      <c r="P12" s="87"/>
    </row>
    <row r="13" spans="2:16" ht="12">
      <c r="B13" s="91">
        <f t="shared" si="3"/>
        <v>16.73</v>
      </c>
      <c r="C13" s="2" t="s">
        <v>1</v>
      </c>
      <c r="D13" s="2" t="s">
        <v>9</v>
      </c>
      <c r="E13" s="37">
        <v>4</v>
      </c>
      <c r="F13" s="39">
        <f t="shared" si="4"/>
        <v>17.142857142857142</v>
      </c>
      <c r="G13" s="4">
        <f t="shared" si="0"/>
        <v>0.2857142857142857</v>
      </c>
      <c r="H13" s="194">
        <f t="shared" si="1"/>
        <v>1.5129677960927963</v>
      </c>
      <c r="I13" s="209" t="str">
        <f t="shared" si="2"/>
        <v>8:44</v>
      </c>
      <c r="J13" s="169">
        <v>0.39444444444444443</v>
      </c>
      <c r="K13" s="18"/>
      <c r="L13" s="58">
        <v>14</v>
      </c>
      <c r="P13" s="87"/>
    </row>
    <row r="14" spans="2:16" ht="12">
      <c r="B14" s="92">
        <f t="shared" si="3"/>
        <v>20.73</v>
      </c>
      <c r="C14" s="71" t="s">
        <v>2</v>
      </c>
      <c r="D14" s="71" t="s">
        <v>74</v>
      </c>
      <c r="E14" s="72">
        <v>2.13</v>
      </c>
      <c r="F14" s="39">
        <f t="shared" si="4"/>
        <v>9.128571428571428</v>
      </c>
      <c r="G14" s="29">
        <f t="shared" si="0"/>
        <v>0.15214285714285714</v>
      </c>
      <c r="H14" s="195">
        <f t="shared" si="1"/>
        <v>1.6651106532356534</v>
      </c>
      <c r="I14" s="210" t="str">
        <f t="shared" si="2"/>
        <v>8:53</v>
      </c>
      <c r="J14" s="170">
        <v>0.40069444444444446</v>
      </c>
      <c r="K14" s="18"/>
      <c r="L14" s="58">
        <v>14</v>
      </c>
      <c r="P14" s="87"/>
    </row>
    <row r="15" spans="2:16" ht="25.5" customHeight="1">
      <c r="B15" s="93">
        <f t="shared" si="3"/>
        <v>22.86</v>
      </c>
      <c r="C15" s="254" t="s">
        <v>165</v>
      </c>
      <c r="D15" s="255"/>
      <c r="E15" s="97"/>
      <c r="F15" s="74">
        <v>20</v>
      </c>
      <c r="G15" s="75">
        <f t="shared" si="0"/>
        <v>0.3333333333333333</v>
      </c>
      <c r="H15" s="196">
        <f t="shared" si="1"/>
        <v>1.9984439865689867</v>
      </c>
      <c r="I15" s="189">
        <v>0.3840277777777778</v>
      </c>
      <c r="J15" s="171">
        <v>0.4152777777777778</v>
      </c>
      <c r="K15" s="18"/>
      <c r="L15" s="58">
        <v>0.001</v>
      </c>
      <c r="P15" s="87"/>
    </row>
    <row r="16" spans="2:16" ht="12">
      <c r="B16" s="90">
        <f t="shared" si="3"/>
        <v>22.86</v>
      </c>
      <c r="C16" s="30" t="s">
        <v>1</v>
      </c>
      <c r="D16" s="30" t="s">
        <v>159</v>
      </c>
      <c r="E16" s="36">
        <v>3.59</v>
      </c>
      <c r="F16" s="39">
        <f t="shared" si="4"/>
        <v>15.385714285714284</v>
      </c>
      <c r="G16" s="73">
        <f t="shared" si="0"/>
        <v>0.2564285714285714</v>
      </c>
      <c r="H16" s="197">
        <f t="shared" si="1"/>
        <v>2.254872557997558</v>
      </c>
      <c r="I16" s="211" t="str">
        <f aca="true" t="shared" si="5" ref="I16:I30">TEXT(I15+(E16/(L16*24)),"h:mm")</f>
        <v>9:28</v>
      </c>
      <c r="J16" s="168">
        <v>0.425</v>
      </c>
      <c r="K16" s="18"/>
      <c r="L16" s="58">
        <v>14</v>
      </c>
      <c r="N16" s="89" t="s">
        <v>99</v>
      </c>
      <c r="O16" s="83"/>
      <c r="P16" s="87"/>
    </row>
    <row r="17" spans="2:16" ht="12">
      <c r="B17" s="91">
        <f t="shared" si="3"/>
        <v>26.45</v>
      </c>
      <c r="C17" s="2" t="s">
        <v>1</v>
      </c>
      <c r="D17" s="2" t="s">
        <v>10</v>
      </c>
      <c r="E17" s="37">
        <f>28.24-B17</f>
        <v>1.7899999999999991</v>
      </c>
      <c r="F17" s="39">
        <f t="shared" si="4"/>
        <v>7.671428571428568</v>
      </c>
      <c r="G17" s="4">
        <f t="shared" si="0"/>
        <v>0.1278571428571428</v>
      </c>
      <c r="H17" s="194">
        <f t="shared" si="1"/>
        <v>2.382729700854701</v>
      </c>
      <c r="I17" s="209" t="str">
        <f t="shared" si="5"/>
        <v>9:35</v>
      </c>
      <c r="J17" s="169">
        <v>0.4305555555555556</v>
      </c>
      <c r="K17" s="18"/>
      <c r="L17" s="58">
        <v>14</v>
      </c>
      <c r="N17" s="84" t="s">
        <v>100</v>
      </c>
      <c r="O17" s="85" t="s">
        <v>46</v>
      </c>
      <c r="P17" s="87"/>
    </row>
    <row r="18" spans="2:16" ht="12">
      <c r="B18" s="91">
        <f t="shared" si="3"/>
        <v>28.24</v>
      </c>
      <c r="C18" s="2" t="s">
        <v>2</v>
      </c>
      <c r="D18" s="2" t="s">
        <v>102</v>
      </c>
      <c r="E18" s="37">
        <f>28.43-B18</f>
        <v>0.19000000000000128</v>
      </c>
      <c r="F18" s="39">
        <f t="shared" si="4"/>
        <v>0.8769230769230828</v>
      </c>
      <c r="G18" s="4">
        <f t="shared" si="0"/>
        <v>0.014615384615384714</v>
      </c>
      <c r="H18" s="194">
        <f t="shared" si="1"/>
        <v>2.3973450854700857</v>
      </c>
      <c r="I18" s="209" t="str">
        <f t="shared" si="5"/>
        <v>9:35</v>
      </c>
      <c r="J18" s="169">
        <v>0.43125</v>
      </c>
      <c r="K18" s="18"/>
      <c r="L18" s="58">
        <v>13</v>
      </c>
      <c r="N18" s="81">
        <f>+O18/60</f>
        <v>0.03333333333333333</v>
      </c>
      <c r="O18" s="82">
        <v>2</v>
      </c>
      <c r="P18" s="87"/>
    </row>
    <row r="19" spans="2:16" ht="12">
      <c r="B19" s="91">
        <f t="shared" si="3"/>
        <v>28.43</v>
      </c>
      <c r="C19" s="2" t="s">
        <v>2</v>
      </c>
      <c r="D19" s="2" t="s">
        <v>11</v>
      </c>
      <c r="E19" s="37">
        <f>28.47-B19</f>
        <v>0.03999999999999915</v>
      </c>
      <c r="F19" s="39">
        <f t="shared" si="4"/>
        <v>0.19999999999999574</v>
      </c>
      <c r="G19" s="4">
        <f t="shared" si="0"/>
        <v>0.0033333333333332624</v>
      </c>
      <c r="H19" s="194">
        <f t="shared" si="1"/>
        <v>2.400678418803419</v>
      </c>
      <c r="I19" s="209" t="str">
        <f t="shared" si="5"/>
        <v>9:35</v>
      </c>
      <c r="J19" s="169">
        <v>0.43194444444444446</v>
      </c>
      <c r="K19" s="18"/>
      <c r="L19" s="58">
        <v>12</v>
      </c>
      <c r="N19" s="78">
        <f aca="true" t="shared" si="6" ref="N19:N45">+O19/60</f>
        <v>0.06666666666666667</v>
      </c>
      <c r="O19" s="79">
        <v>4</v>
      </c>
      <c r="P19" s="87"/>
    </row>
    <row r="20" spans="2:16" ht="12">
      <c r="B20" s="91">
        <f t="shared" si="3"/>
        <v>28.47</v>
      </c>
      <c r="C20" s="2" t="s">
        <v>1</v>
      </c>
      <c r="D20" s="2" t="s">
        <v>12</v>
      </c>
      <c r="E20" s="37">
        <f>29.97-B20</f>
        <v>1.5</v>
      </c>
      <c r="F20" s="39">
        <f t="shared" si="4"/>
        <v>6.428571428571428</v>
      </c>
      <c r="G20" s="4">
        <f t="shared" si="0"/>
        <v>0.10714285714285714</v>
      </c>
      <c r="H20" s="194">
        <f t="shared" si="1"/>
        <v>2.5078212759462764</v>
      </c>
      <c r="I20" s="209" t="str">
        <f t="shared" si="5"/>
        <v>9:41</v>
      </c>
      <c r="J20" s="169">
        <v>0.4354166666666666</v>
      </c>
      <c r="K20" s="18"/>
      <c r="L20" s="58">
        <v>14</v>
      </c>
      <c r="N20" s="78">
        <f t="shared" si="6"/>
        <v>0.1</v>
      </c>
      <c r="O20" s="79">
        <v>6</v>
      </c>
      <c r="P20" s="87"/>
    </row>
    <row r="21" spans="2:16" ht="12">
      <c r="B21" s="91">
        <f t="shared" si="3"/>
        <v>29.97</v>
      </c>
      <c r="C21" s="2" t="s">
        <v>2</v>
      </c>
      <c r="D21" s="2" t="s">
        <v>13</v>
      </c>
      <c r="E21" s="37">
        <f>31.32-B21</f>
        <v>1.3500000000000014</v>
      </c>
      <c r="F21" s="39">
        <f t="shared" si="4"/>
        <v>6.230769230769237</v>
      </c>
      <c r="G21" s="4">
        <f t="shared" si="0"/>
        <v>0.10384615384615395</v>
      </c>
      <c r="H21" s="194">
        <f t="shared" si="1"/>
        <v>2.6116674297924303</v>
      </c>
      <c r="I21" s="209" t="str">
        <f t="shared" si="5"/>
        <v>9:47</v>
      </c>
      <c r="J21" s="169">
        <v>0.44027777777777777</v>
      </c>
      <c r="K21" s="18"/>
      <c r="L21" s="58">
        <v>13</v>
      </c>
      <c r="N21" s="78">
        <f t="shared" si="6"/>
        <v>0.13333333333333333</v>
      </c>
      <c r="O21" s="79">
        <v>8</v>
      </c>
      <c r="P21" s="87"/>
    </row>
    <row r="22" spans="2:16" ht="12">
      <c r="B22" s="91">
        <f t="shared" si="3"/>
        <v>31.32</v>
      </c>
      <c r="C22" s="2" t="s">
        <v>16</v>
      </c>
      <c r="D22" s="2" t="s">
        <v>17</v>
      </c>
      <c r="E22" s="37">
        <f>32.57-B22</f>
        <v>1.25</v>
      </c>
      <c r="F22" s="39">
        <f t="shared" si="4"/>
        <v>5.357142857142858</v>
      </c>
      <c r="G22" s="4">
        <f t="shared" si="0"/>
        <v>0.08928571428571429</v>
      </c>
      <c r="H22" s="194">
        <f t="shared" si="1"/>
        <v>2.7009531440781447</v>
      </c>
      <c r="I22" s="209" t="str">
        <f t="shared" si="5"/>
        <v>9:52</v>
      </c>
      <c r="J22" s="169">
        <v>0.44375</v>
      </c>
      <c r="K22" s="18"/>
      <c r="L22" s="58">
        <v>14</v>
      </c>
      <c r="N22" s="78">
        <f t="shared" si="6"/>
        <v>0.16666666666666666</v>
      </c>
      <c r="O22" s="79">
        <v>10</v>
      </c>
      <c r="P22" s="87"/>
    </row>
    <row r="23" spans="2:16" ht="12">
      <c r="B23" s="91">
        <f t="shared" si="3"/>
        <v>32.57</v>
      </c>
      <c r="C23" s="2" t="s">
        <v>1</v>
      </c>
      <c r="D23" s="2" t="s">
        <v>14</v>
      </c>
      <c r="E23" s="37">
        <f>33.55-B23</f>
        <v>0.9799999999999969</v>
      </c>
      <c r="F23" s="39">
        <f t="shared" si="4"/>
        <v>5.345454545454528</v>
      </c>
      <c r="G23" s="4">
        <f t="shared" si="0"/>
        <v>0.0890909090909088</v>
      </c>
      <c r="H23" s="194">
        <f t="shared" si="1"/>
        <v>2.7900440531690536</v>
      </c>
      <c r="I23" s="192" t="str">
        <f t="shared" si="5"/>
        <v>9:57</v>
      </c>
      <c r="J23" s="169">
        <v>0.4465277777777778</v>
      </c>
      <c r="K23" s="18"/>
      <c r="L23" s="58">
        <v>11</v>
      </c>
      <c r="N23" s="78">
        <f t="shared" si="6"/>
        <v>0.2</v>
      </c>
      <c r="O23" s="79">
        <v>12</v>
      </c>
      <c r="P23" s="87"/>
    </row>
    <row r="24" spans="2:16" ht="12">
      <c r="B24" s="91">
        <f t="shared" si="3"/>
        <v>33.55</v>
      </c>
      <c r="C24" s="2" t="s">
        <v>2</v>
      </c>
      <c r="D24" s="2" t="s">
        <v>15</v>
      </c>
      <c r="E24" s="37">
        <f>38.6-B24</f>
        <v>5.050000000000004</v>
      </c>
      <c r="F24" s="39">
        <f t="shared" si="4"/>
        <v>21.642857142857164</v>
      </c>
      <c r="G24" s="4">
        <f t="shared" si="0"/>
        <v>0.36071428571428604</v>
      </c>
      <c r="H24" s="194">
        <f t="shared" si="1"/>
        <v>3.15075833888334</v>
      </c>
      <c r="I24" s="192" t="str">
        <f t="shared" si="5"/>
        <v>10:18</v>
      </c>
      <c r="J24" s="169">
        <v>0.4611111111111111</v>
      </c>
      <c r="K24" s="18"/>
      <c r="L24" s="58">
        <v>14</v>
      </c>
      <c r="N24" s="78">
        <f t="shared" si="6"/>
        <v>0.23333333333333334</v>
      </c>
      <c r="O24" s="79">
        <v>14</v>
      </c>
      <c r="P24" s="87"/>
    </row>
    <row r="25" spans="2:16" ht="12">
      <c r="B25" s="91">
        <f t="shared" si="3"/>
        <v>38.6</v>
      </c>
      <c r="C25" s="2" t="s">
        <v>1</v>
      </c>
      <c r="D25" s="2" t="s">
        <v>18</v>
      </c>
      <c r="E25" s="37">
        <f>46.04-B25</f>
        <v>7.439999999999998</v>
      </c>
      <c r="F25" s="39">
        <f t="shared" si="4"/>
        <v>31.885714285714275</v>
      </c>
      <c r="G25" s="4">
        <f t="shared" si="0"/>
        <v>0.5314285714285713</v>
      </c>
      <c r="H25" s="194">
        <f t="shared" si="1"/>
        <v>3.682186910311911</v>
      </c>
      <c r="I25" s="192" t="str">
        <f t="shared" si="5"/>
        <v>10:49</v>
      </c>
      <c r="J25" s="169">
        <v>0.48125</v>
      </c>
      <c r="K25" s="18"/>
      <c r="L25" s="58">
        <v>14</v>
      </c>
      <c r="N25" s="78">
        <f t="shared" si="6"/>
        <v>0.26666666666666666</v>
      </c>
      <c r="O25" s="79">
        <v>16</v>
      </c>
      <c r="P25" s="87"/>
    </row>
    <row r="26" spans="2:16" ht="12">
      <c r="B26" s="91">
        <f t="shared" si="3"/>
        <v>46.04</v>
      </c>
      <c r="C26" s="2" t="s">
        <v>2</v>
      </c>
      <c r="D26" s="2" t="s">
        <v>162</v>
      </c>
      <c r="E26" s="37">
        <f>48.09-B26</f>
        <v>2.0500000000000043</v>
      </c>
      <c r="F26" s="39">
        <f t="shared" si="4"/>
        <v>8.200000000000017</v>
      </c>
      <c r="G26" s="4">
        <f t="shared" si="0"/>
        <v>0.13666666666666696</v>
      </c>
      <c r="H26" s="194">
        <f t="shared" si="1"/>
        <v>3.818853576978578</v>
      </c>
      <c r="I26" s="192" t="str">
        <f t="shared" si="5"/>
        <v>10:57</v>
      </c>
      <c r="J26" s="169">
        <v>0.4875</v>
      </c>
      <c r="K26" s="18"/>
      <c r="L26" s="58">
        <v>15</v>
      </c>
      <c r="N26" s="78">
        <f t="shared" si="6"/>
        <v>0.3</v>
      </c>
      <c r="O26" s="79">
        <v>18</v>
      </c>
      <c r="P26" s="87"/>
    </row>
    <row r="27" spans="2:16" ht="12">
      <c r="B27" s="91">
        <f t="shared" si="3"/>
        <v>48.09</v>
      </c>
      <c r="C27" s="2" t="s">
        <v>2</v>
      </c>
      <c r="D27" s="2" t="s">
        <v>19</v>
      </c>
      <c r="E27" s="37">
        <f>48.52-B27</f>
        <v>0.4299999999999997</v>
      </c>
      <c r="F27" s="39">
        <f t="shared" si="4"/>
        <v>1.8428571428571416</v>
      </c>
      <c r="G27" s="4">
        <f t="shared" si="0"/>
        <v>0.030714285714285694</v>
      </c>
      <c r="H27" s="194">
        <f t="shared" si="1"/>
        <v>3.8495678626928638</v>
      </c>
      <c r="I27" s="192" t="str">
        <f t="shared" si="5"/>
        <v>10:58</v>
      </c>
      <c r="J27" s="169">
        <v>0.48819444444444443</v>
      </c>
      <c r="K27" s="18"/>
      <c r="L27" s="58">
        <v>14</v>
      </c>
      <c r="N27" s="78">
        <f t="shared" si="6"/>
        <v>0.3333333333333333</v>
      </c>
      <c r="O27" s="79">
        <v>20</v>
      </c>
      <c r="P27" s="87"/>
    </row>
    <row r="28" spans="2:16" ht="12">
      <c r="B28" s="91">
        <f t="shared" si="3"/>
        <v>48.52</v>
      </c>
      <c r="C28" s="2" t="s">
        <v>2</v>
      </c>
      <c r="D28" s="2" t="s">
        <v>20</v>
      </c>
      <c r="E28" s="37">
        <f>48.73-B28</f>
        <v>0.20999999999999375</v>
      </c>
      <c r="F28" s="39">
        <f t="shared" si="4"/>
        <v>1.0499999999999687</v>
      </c>
      <c r="G28" s="4">
        <f t="shared" si="0"/>
        <v>0.017499999999999478</v>
      </c>
      <c r="H28" s="194">
        <f t="shared" si="1"/>
        <v>3.8670678626928634</v>
      </c>
      <c r="I28" s="192" t="str">
        <f t="shared" si="5"/>
        <v>10:59</v>
      </c>
      <c r="J28" s="169">
        <v>0.4888888888888889</v>
      </c>
      <c r="K28" s="18"/>
      <c r="L28" s="58">
        <v>12</v>
      </c>
      <c r="N28" s="78">
        <f t="shared" si="6"/>
        <v>0.36666666666666664</v>
      </c>
      <c r="O28" s="79">
        <f>+O27+2</f>
        <v>22</v>
      </c>
      <c r="P28" s="87"/>
    </row>
    <row r="29" spans="2:16" ht="12">
      <c r="B29" s="91">
        <f t="shared" si="3"/>
        <v>48.73</v>
      </c>
      <c r="C29" s="2" t="s">
        <v>1</v>
      </c>
      <c r="D29" s="2" t="s">
        <v>21</v>
      </c>
      <c r="E29" s="37">
        <f>49.59-B29</f>
        <v>0.8600000000000065</v>
      </c>
      <c r="F29" s="39">
        <f t="shared" si="4"/>
        <v>3.6857142857143135</v>
      </c>
      <c r="G29" s="4">
        <f t="shared" si="0"/>
        <v>0.061428571428571895</v>
      </c>
      <c r="H29" s="194">
        <f t="shared" si="1"/>
        <v>3.9284964341214352</v>
      </c>
      <c r="I29" s="192" t="str">
        <f t="shared" si="5"/>
        <v>11:02</v>
      </c>
      <c r="J29" s="169">
        <v>0.4916666666666667</v>
      </c>
      <c r="K29" s="18"/>
      <c r="L29" s="58">
        <v>14</v>
      </c>
      <c r="N29" s="78">
        <f t="shared" si="6"/>
        <v>0.4</v>
      </c>
      <c r="O29" s="79">
        <f aca="true" t="shared" si="7" ref="O29:O45">+O28+2</f>
        <v>24</v>
      </c>
      <c r="P29" s="87"/>
    </row>
    <row r="30" spans="2:16" ht="12">
      <c r="B30" s="92">
        <f>+B29+E29</f>
        <v>49.59</v>
      </c>
      <c r="C30" s="71" t="s">
        <v>16</v>
      </c>
      <c r="D30" s="71" t="s">
        <v>75</v>
      </c>
      <c r="E30" s="72">
        <f>51.13-B30</f>
        <v>1.5399999999999991</v>
      </c>
      <c r="F30" s="185">
        <f t="shared" si="4"/>
        <v>6.599999999999997</v>
      </c>
      <c r="G30" s="29">
        <f t="shared" si="0"/>
        <v>0.10999999999999995</v>
      </c>
      <c r="H30" s="195">
        <f>+H29+G30</f>
        <v>4.038496434121435</v>
      </c>
      <c r="I30" s="193" t="str">
        <f t="shared" si="5"/>
        <v>11:08</v>
      </c>
      <c r="J30" s="172">
        <v>0.49583333333333335</v>
      </c>
      <c r="K30" s="18"/>
      <c r="L30" s="58">
        <v>14</v>
      </c>
      <c r="N30" s="78">
        <f t="shared" si="6"/>
        <v>0.43333333333333335</v>
      </c>
      <c r="O30" s="79">
        <f t="shared" si="7"/>
        <v>26</v>
      </c>
      <c r="P30" s="87"/>
    </row>
    <row r="31" spans="2:16" ht="30" customHeight="1" thickBot="1">
      <c r="B31" s="94">
        <f>+B30+E30</f>
        <v>51.13</v>
      </c>
      <c r="C31" s="257" t="s">
        <v>164</v>
      </c>
      <c r="D31" s="258"/>
      <c r="E31" s="259"/>
      <c r="F31" s="76">
        <v>60</v>
      </c>
      <c r="G31" s="77">
        <v>0.83333</v>
      </c>
      <c r="H31" s="198">
        <f t="shared" si="1"/>
        <v>4.871826434121435</v>
      </c>
      <c r="I31" s="190">
        <v>0.5069444444444444</v>
      </c>
      <c r="J31" s="173">
        <v>0.5375</v>
      </c>
      <c r="K31" s="18"/>
      <c r="L31" s="58">
        <v>0.001</v>
      </c>
      <c r="N31" s="78">
        <f t="shared" si="6"/>
        <v>0.4666666666666667</v>
      </c>
      <c r="O31" s="79">
        <f t="shared" si="7"/>
        <v>28</v>
      </c>
      <c r="P31" s="87"/>
    </row>
    <row r="32" spans="2:16" ht="12">
      <c r="B32" s="90">
        <f>+B30+E30</f>
        <v>51.13</v>
      </c>
      <c r="C32" s="30" t="s">
        <v>1</v>
      </c>
      <c r="D32" s="30" t="s">
        <v>22</v>
      </c>
      <c r="E32" s="36">
        <f>52.85-B32</f>
        <v>1.7199999999999989</v>
      </c>
      <c r="F32" s="39">
        <f t="shared" si="4"/>
        <v>7.371428571428567</v>
      </c>
      <c r="G32" s="73">
        <f t="shared" si="0"/>
        <v>0.12285714285714278</v>
      </c>
      <c r="H32" s="197">
        <f t="shared" si="1"/>
        <v>4.994683576978578</v>
      </c>
      <c r="I32" s="212" t="str">
        <f aca="true" t="shared" si="8" ref="I32:I39">TEXT(I31+(E32/(L32*24)),"h:mm am/pm")</f>
        <v>12:17 PM</v>
      </c>
      <c r="J32" s="174">
        <v>0.042361111111111106</v>
      </c>
      <c r="K32" s="18"/>
      <c r="L32" s="58">
        <v>14</v>
      </c>
      <c r="N32" s="78">
        <f t="shared" si="6"/>
        <v>0.5</v>
      </c>
      <c r="O32" s="79">
        <f t="shared" si="7"/>
        <v>30</v>
      </c>
      <c r="P32" s="87"/>
    </row>
    <row r="33" spans="2:16" ht="12">
      <c r="B33" s="91">
        <f t="shared" si="3"/>
        <v>52.85</v>
      </c>
      <c r="C33" s="2" t="s">
        <v>1</v>
      </c>
      <c r="D33" s="2" t="s">
        <v>23</v>
      </c>
      <c r="E33" s="37">
        <f>54.67-B33</f>
        <v>1.8200000000000003</v>
      </c>
      <c r="F33" s="39">
        <f t="shared" si="4"/>
        <v>7.800000000000002</v>
      </c>
      <c r="G33" s="4">
        <f t="shared" si="0"/>
        <v>0.13000000000000003</v>
      </c>
      <c r="H33" s="194">
        <f t="shared" si="1"/>
        <v>5.124683576978578</v>
      </c>
      <c r="I33" s="212" t="str">
        <f t="shared" si="8"/>
        <v>12:24 PM</v>
      </c>
      <c r="J33" s="175">
        <v>0.04791666666666666</v>
      </c>
      <c r="K33" s="18"/>
      <c r="L33" s="58">
        <v>14</v>
      </c>
      <c r="N33" s="78">
        <f t="shared" si="6"/>
        <v>0.5333333333333333</v>
      </c>
      <c r="O33" s="79">
        <f t="shared" si="7"/>
        <v>32</v>
      </c>
      <c r="P33" s="87"/>
    </row>
    <row r="34" spans="2:16" ht="12">
      <c r="B34" s="91">
        <f t="shared" si="3"/>
        <v>54.67</v>
      </c>
      <c r="C34" s="2" t="s">
        <v>2</v>
      </c>
      <c r="D34" s="2" t="s">
        <v>24</v>
      </c>
      <c r="E34" s="37">
        <f>55.54-B34</f>
        <v>0.8699999999999974</v>
      </c>
      <c r="F34" s="39">
        <f t="shared" si="4"/>
        <v>3.7285714285714175</v>
      </c>
      <c r="G34" s="4">
        <f t="shared" si="0"/>
        <v>0.06214285714285696</v>
      </c>
      <c r="H34" s="194">
        <f t="shared" si="1"/>
        <v>5.186826434121435</v>
      </c>
      <c r="I34" s="212" t="str">
        <f t="shared" si="8"/>
        <v>12:27 PM</v>
      </c>
      <c r="J34" s="175">
        <v>0.05069444444444445</v>
      </c>
      <c r="K34" s="18"/>
      <c r="L34" s="58">
        <v>14</v>
      </c>
      <c r="N34" s="78">
        <f t="shared" si="6"/>
        <v>0.5666666666666667</v>
      </c>
      <c r="O34" s="79">
        <f t="shared" si="7"/>
        <v>34</v>
      </c>
      <c r="P34" s="87"/>
    </row>
    <row r="35" spans="2:16" ht="12">
      <c r="B35" s="91">
        <f t="shared" si="3"/>
        <v>55.54</v>
      </c>
      <c r="C35" s="2" t="s">
        <v>16</v>
      </c>
      <c r="D35" s="2" t="s">
        <v>25</v>
      </c>
      <c r="E35" s="37">
        <f>56.93-B35</f>
        <v>1.3900000000000006</v>
      </c>
      <c r="F35" s="39">
        <f t="shared" si="4"/>
        <v>6.415384615384618</v>
      </c>
      <c r="G35" s="4">
        <f t="shared" si="0"/>
        <v>0.10692307692307697</v>
      </c>
      <c r="H35" s="194">
        <f t="shared" si="1"/>
        <v>5.293749511044512</v>
      </c>
      <c r="I35" s="191" t="str">
        <f t="shared" si="8"/>
        <v>12:33 PM</v>
      </c>
      <c r="J35" s="175">
        <v>0.05486111111111111</v>
      </c>
      <c r="K35" s="18"/>
      <c r="L35" s="58">
        <v>13</v>
      </c>
      <c r="N35" s="78">
        <f t="shared" si="6"/>
        <v>0.6</v>
      </c>
      <c r="O35" s="79">
        <f t="shared" si="7"/>
        <v>36</v>
      </c>
      <c r="P35" s="87"/>
    </row>
    <row r="36" spans="2:17" ht="12">
      <c r="B36" s="91">
        <f t="shared" si="3"/>
        <v>56.93</v>
      </c>
      <c r="C36" s="2" t="s">
        <v>1</v>
      </c>
      <c r="D36" s="2" t="s">
        <v>27</v>
      </c>
      <c r="E36" s="37">
        <f>59.23-B36</f>
        <v>2.299999999999997</v>
      </c>
      <c r="F36" s="39">
        <f t="shared" si="4"/>
        <v>10.615384615384603</v>
      </c>
      <c r="G36" s="4">
        <f t="shared" si="0"/>
        <v>0.1769230769230767</v>
      </c>
      <c r="H36" s="194">
        <f t="shared" si="1"/>
        <v>5.470672587967588</v>
      </c>
      <c r="I36" s="192" t="str">
        <f t="shared" si="8"/>
        <v>12:43 PM</v>
      </c>
      <c r="J36" s="175">
        <v>0.06180555555555556</v>
      </c>
      <c r="K36" s="18"/>
      <c r="L36" s="58">
        <v>13</v>
      </c>
      <c r="N36" s="78">
        <f t="shared" si="6"/>
        <v>0.6333333333333333</v>
      </c>
      <c r="O36" s="79">
        <f t="shared" si="7"/>
        <v>38</v>
      </c>
      <c r="P36" s="87"/>
      <c r="Q36" s="1"/>
    </row>
    <row r="37" spans="2:16" ht="12">
      <c r="B37" s="91">
        <f t="shared" si="3"/>
        <v>59.23</v>
      </c>
      <c r="C37" s="2" t="s">
        <v>1</v>
      </c>
      <c r="D37" s="2" t="s">
        <v>26</v>
      </c>
      <c r="E37" s="37">
        <f>61.52-B37</f>
        <v>2.2900000000000063</v>
      </c>
      <c r="F37" s="39">
        <f t="shared" si="4"/>
        <v>10.569230769230797</v>
      </c>
      <c r="G37" s="4">
        <f t="shared" si="0"/>
        <v>0.17615384615384663</v>
      </c>
      <c r="H37" s="194">
        <f t="shared" si="1"/>
        <v>5.646826434121435</v>
      </c>
      <c r="I37" s="192" t="str">
        <f t="shared" si="8"/>
        <v>12:53 PM</v>
      </c>
      <c r="J37" s="175">
        <v>0.06875</v>
      </c>
      <c r="K37" s="18"/>
      <c r="L37" s="58">
        <v>13</v>
      </c>
      <c r="N37" s="78">
        <f t="shared" si="6"/>
        <v>0.6666666666666666</v>
      </c>
      <c r="O37" s="79">
        <f t="shared" si="7"/>
        <v>40</v>
      </c>
      <c r="P37" s="87"/>
    </row>
    <row r="38" spans="2:17" ht="12">
      <c r="B38" s="91">
        <f t="shared" si="3"/>
        <v>61.52</v>
      </c>
      <c r="C38" s="2" t="s">
        <v>1</v>
      </c>
      <c r="D38" s="2" t="s">
        <v>28</v>
      </c>
      <c r="E38" s="37">
        <f>62.34-B38</f>
        <v>0.8200000000000003</v>
      </c>
      <c r="F38" s="39">
        <f t="shared" si="4"/>
        <v>3.784615384615386</v>
      </c>
      <c r="G38" s="4">
        <f t="shared" si="0"/>
        <v>0.0630769230769231</v>
      </c>
      <c r="H38" s="194">
        <f t="shared" si="1"/>
        <v>5.709903357198358</v>
      </c>
      <c r="I38" s="192" t="str">
        <f t="shared" si="8"/>
        <v>12:56 PM</v>
      </c>
      <c r="J38" s="175">
        <v>0.07152777777777779</v>
      </c>
      <c r="K38" s="18"/>
      <c r="L38" s="58">
        <v>13</v>
      </c>
      <c r="N38" s="78">
        <f t="shared" si="6"/>
        <v>0.7</v>
      </c>
      <c r="O38" s="79">
        <f t="shared" si="7"/>
        <v>42</v>
      </c>
      <c r="P38" s="87"/>
      <c r="Q38" s="87"/>
    </row>
    <row r="39" spans="2:16" ht="12">
      <c r="B39" s="92">
        <f t="shared" si="3"/>
        <v>62.34</v>
      </c>
      <c r="C39" s="71" t="s">
        <v>1</v>
      </c>
      <c r="D39" s="71" t="s">
        <v>29</v>
      </c>
      <c r="E39" s="72">
        <v>12.4</v>
      </c>
      <c r="F39" s="39">
        <f t="shared" si="4"/>
        <v>53.142857142857146</v>
      </c>
      <c r="G39" s="29">
        <f t="shared" si="0"/>
        <v>0.8857142857142858</v>
      </c>
      <c r="H39" s="195">
        <f t="shared" si="1"/>
        <v>6.595617642912644</v>
      </c>
      <c r="I39" s="192" t="str">
        <f t="shared" si="8"/>
        <v>1:49 PM</v>
      </c>
      <c r="J39" s="172">
        <v>0.10625</v>
      </c>
      <c r="K39" s="18"/>
      <c r="L39" s="58">
        <v>14</v>
      </c>
      <c r="N39" s="78">
        <f t="shared" si="6"/>
        <v>0.7333333333333333</v>
      </c>
      <c r="O39" s="79">
        <f t="shared" si="7"/>
        <v>44</v>
      </c>
      <c r="P39" s="87"/>
    </row>
    <row r="40" spans="2:16" ht="30" customHeight="1">
      <c r="B40" s="93">
        <f t="shared" si="3"/>
        <v>74.74000000000001</v>
      </c>
      <c r="C40" s="256" t="s">
        <v>163</v>
      </c>
      <c r="D40" s="255"/>
      <c r="E40" s="163"/>
      <c r="F40" s="164">
        <v>20</v>
      </c>
      <c r="G40" s="75">
        <f t="shared" si="0"/>
        <v>0.3333333333333333</v>
      </c>
      <c r="H40" s="196">
        <f t="shared" si="1"/>
        <v>6.928950976245977</v>
      </c>
      <c r="I40" s="192">
        <v>0.5902777777777778</v>
      </c>
      <c r="J40" s="173">
        <v>0.12013888888888889</v>
      </c>
      <c r="K40" s="18"/>
      <c r="L40" s="58">
        <v>0.001</v>
      </c>
      <c r="N40" s="78">
        <f t="shared" si="6"/>
        <v>0.7666666666666667</v>
      </c>
      <c r="O40" s="79">
        <f t="shared" si="7"/>
        <v>46</v>
      </c>
      <c r="P40" s="87"/>
    </row>
    <row r="41" spans="2:16" ht="30" customHeight="1">
      <c r="B41" s="91">
        <f t="shared" si="3"/>
        <v>74.74000000000001</v>
      </c>
      <c r="C41" s="30" t="s">
        <v>1</v>
      </c>
      <c r="D41" s="245" t="s">
        <v>29</v>
      </c>
      <c r="E41" s="36">
        <v>0.2</v>
      </c>
      <c r="F41" s="246"/>
      <c r="G41" s="247"/>
      <c r="H41" s="248"/>
      <c r="I41" s="192" t="str">
        <f>TEXT(I40+(E41/(L41*24)),"h:mm am/pm")</f>
        <v>2:10 PM</v>
      </c>
      <c r="J41" s="249"/>
      <c r="K41" s="18"/>
      <c r="L41" s="58">
        <v>13</v>
      </c>
      <c r="N41" s="78"/>
      <c r="O41" s="79"/>
      <c r="P41" s="87"/>
    </row>
    <row r="42" spans="2:16" ht="12">
      <c r="B42" s="91">
        <f t="shared" si="3"/>
        <v>74.94000000000001</v>
      </c>
      <c r="C42" s="30" t="s">
        <v>1</v>
      </c>
      <c r="D42" s="30" t="s">
        <v>36</v>
      </c>
      <c r="E42" s="36">
        <f>99.42-83.4</f>
        <v>16.019999999999996</v>
      </c>
      <c r="F42" s="39">
        <f t="shared" si="4"/>
        <v>68.65714285714283</v>
      </c>
      <c r="G42" s="73">
        <f t="shared" si="0"/>
        <v>1.144285714285714</v>
      </c>
      <c r="H42" s="197">
        <f>+H40+G42</f>
        <v>8.07323669053169</v>
      </c>
      <c r="I42" s="192" t="str">
        <f>TEXT(I40+(E42/(L42*24)),"h:mm am/pm")</f>
        <v>3:18 PM</v>
      </c>
      <c r="J42" s="174">
        <v>0.16805555555555554</v>
      </c>
      <c r="K42" s="18"/>
      <c r="L42" s="58">
        <v>14</v>
      </c>
      <c r="N42" s="78">
        <f t="shared" si="6"/>
        <v>0.8</v>
      </c>
      <c r="O42" s="79">
        <f>+O40+2</f>
        <v>48</v>
      </c>
      <c r="P42" s="87"/>
    </row>
    <row r="43" spans="2:16" ht="12">
      <c r="B43" s="91">
        <f t="shared" si="3"/>
        <v>90.96000000000001</v>
      </c>
      <c r="C43" s="2" t="s">
        <v>2</v>
      </c>
      <c r="D43" s="2" t="s">
        <v>30</v>
      </c>
      <c r="E43" s="37">
        <f>115.7-99.42</f>
        <v>16.28</v>
      </c>
      <c r="F43" s="39">
        <f t="shared" si="4"/>
        <v>65.12</v>
      </c>
      <c r="G43" s="4">
        <f t="shared" si="0"/>
        <v>1.0853333333333335</v>
      </c>
      <c r="H43" s="194">
        <f t="shared" si="1"/>
        <v>9.158570023865023</v>
      </c>
      <c r="I43" s="192" t="str">
        <f>TEXT(I42+(E43/(L43*24)),"h:mm am/pm")</f>
        <v>4:23 PM</v>
      </c>
      <c r="J43" s="175">
        <v>0.21319444444444444</v>
      </c>
      <c r="K43" s="18"/>
      <c r="L43" s="58">
        <v>15</v>
      </c>
      <c r="N43" s="78">
        <f t="shared" si="6"/>
        <v>0.8333333333333334</v>
      </c>
      <c r="O43" s="79">
        <f t="shared" si="7"/>
        <v>50</v>
      </c>
      <c r="P43" s="87"/>
    </row>
    <row r="44" spans="2:16" ht="12">
      <c r="B44" s="91">
        <f t="shared" si="3"/>
        <v>107.24000000000001</v>
      </c>
      <c r="C44" s="2" t="s">
        <v>2</v>
      </c>
      <c r="D44" s="2" t="s">
        <v>32</v>
      </c>
      <c r="E44" s="37">
        <v>3.319999999999993</v>
      </c>
      <c r="F44" s="39">
        <f t="shared" si="4"/>
        <v>13.279999999999973</v>
      </c>
      <c r="G44" s="4">
        <f t="shared" si="0"/>
        <v>0.22133333333333288</v>
      </c>
      <c r="H44" s="194">
        <f t="shared" si="1"/>
        <v>9.379903357198355</v>
      </c>
      <c r="I44" s="192" t="str">
        <f>TEXT(I43+(E44/(L44*24)),"h:mm am/pm")</f>
        <v>4:36 PM</v>
      </c>
      <c r="J44" s="175">
        <v>0.2222222222222222</v>
      </c>
      <c r="K44" s="18"/>
      <c r="L44" s="58">
        <v>15</v>
      </c>
      <c r="N44" s="78">
        <f t="shared" si="6"/>
        <v>0.8666666666666667</v>
      </c>
      <c r="O44" s="79">
        <f t="shared" si="7"/>
        <v>52</v>
      </c>
      <c r="P44" s="87"/>
    </row>
    <row r="45" spans="2:16" ht="12">
      <c r="B45" s="92">
        <f t="shared" si="3"/>
        <v>110.56</v>
      </c>
      <c r="C45" s="71" t="s">
        <v>1</v>
      </c>
      <c r="D45" s="71" t="s">
        <v>72</v>
      </c>
      <c r="E45" s="72">
        <v>0.75</v>
      </c>
      <c r="F45" s="39">
        <f t="shared" si="4"/>
        <v>3.214285714285714</v>
      </c>
      <c r="G45" s="29">
        <f t="shared" si="0"/>
        <v>0.05357142857142857</v>
      </c>
      <c r="H45" s="195">
        <f t="shared" si="1"/>
        <v>9.433474785769784</v>
      </c>
      <c r="I45" s="193" t="str">
        <f>TEXT(I44+(E45/(L45*24)),"h:mm am/pm")</f>
        <v>4:39 PM</v>
      </c>
      <c r="J45" s="172">
        <v>0.22430555555555556</v>
      </c>
      <c r="K45" s="18"/>
      <c r="L45" s="58">
        <v>14</v>
      </c>
      <c r="N45" s="78">
        <f t="shared" si="6"/>
        <v>0.9</v>
      </c>
      <c r="O45" s="79">
        <f t="shared" si="7"/>
        <v>54</v>
      </c>
      <c r="P45" s="87"/>
    </row>
    <row r="46" spans="2:16" ht="30.75" customHeight="1" thickBot="1">
      <c r="B46" s="94">
        <f t="shared" si="3"/>
        <v>111.31</v>
      </c>
      <c r="C46" s="257" t="s">
        <v>166</v>
      </c>
      <c r="D46" s="258"/>
      <c r="E46" s="165"/>
      <c r="F46" s="166">
        <v>30</v>
      </c>
      <c r="G46" s="77">
        <f t="shared" si="0"/>
        <v>0.5</v>
      </c>
      <c r="H46" s="198">
        <f t="shared" si="1"/>
        <v>9.933474785769784</v>
      </c>
      <c r="I46" s="190">
        <v>0.7152777777777778</v>
      </c>
      <c r="J46" s="176">
        <v>0.24513888888888888</v>
      </c>
      <c r="K46" s="18"/>
      <c r="L46" s="58">
        <v>0.001</v>
      </c>
      <c r="P46" s="87"/>
    </row>
    <row r="47" spans="2:16" ht="12">
      <c r="B47" s="95">
        <f t="shared" si="3"/>
        <v>111.31</v>
      </c>
      <c r="C47" s="34" t="s">
        <v>73</v>
      </c>
      <c r="D47" s="34" t="s">
        <v>72</v>
      </c>
      <c r="E47" s="38">
        <v>0.75</v>
      </c>
      <c r="F47" s="40">
        <f t="shared" si="4"/>
        <v>3.214285714285714</v>
      </c>
      <c r="G47" s="35">
        <f t="shared" si="0"/>
        <v>0.05357142857142857</v>
      </c>
      <c r="H47" s="199">
        <f t="shared" si="1"/>
        <v>9.987046214341213</v>
      </c>
      <c r="I47" s="212" t="str">
        <f aca="true" t="shared" si="9" ref="I47:I55">TEXT(I46+(E47/(L47*24)),"h:mm am/pm")</f>
        <v>5:13 PM</v>
      </c>
      <c r="J47" s="177">
        <v>0.24722222222222223</v>
      </c>
      <c r="K47" s="18"/>
      <c r="L47" s="58">
        <v>14</v>
      </c>
      <c r="P47" s="87"/>
    </row>
    <row r="48" spans="2:16" ht="12">
      <c r="B48" s="91">
        <f t="shared" si="3"/>
        <v>112.06</v>
      </c>
      <c r="C48" s="2" t="s">
        <v>1</v>
      </c>
      <c r="D48" s="2" t="s">
        <v>32</v>
      </c>
      <c r="E48" s="37">
        <v>8.61999999999999</v>
      </c>
      <c r="F48" s="39">
        <f t="shared" si="4"/>
        <v>34.47999999999996</v>
      </c>
      <c r="G48" s="4">
        <f t="shared" si="0"/>
        <v>0.574666666666666</v>
      </c>
      <c r="H48" s="194">
        <f t="shared" si="1"/>
        <v>10.561712881007878</v>
      </c>
      <c r="I48" s="212" t="str">
        <f t="shared" si="9"/>
        <v>5:47 PM</v>
      </c>
      <c r="J48" s="169">
        <v>0.2708333333333333</v>
      </c>
      <c r="K48" s="18"/>
      <c r="L48" s="58">
        <v>15</v>
      </c>
      <c r="P48" s="87"/>
    </row>
    <row r="49" spans="2:16" ht="12">
      <c r="B49" s="91">
        <f t="shared" si="3"/>
        <v>120.67999999999999</v>
      </c>
      <c r="C49" s="2" t="s">
        <v>1</v>
      </c>
      <c r="D49" s="2" t="s">
        <v>33</v>
      </c>
      <c r="E49" s="37">
        <v>0.3400000000000034</v>
      </c>
      <c r="F49" s="39">
        <f t="shared" si="4"/>
        <v>1.4571428571428717</v>
      </c>
      <c r="G49" s="4">
        <f t="shared" si="0"/>
        <v>0.02428571428571453</v>
      </c>
      <c r="H49" s="194">
        <f t="shared" si="1"/>
        <v>10.585998595293592</v>
      </c>
      <c r="I49" s="191" t="str">
        <f t="shared" si="9"/>
        <v>5:48 PM</v>
      </c>
      <c r="J49" s="169">
        <v>0.27152777777777776</v>
      </c>
      <c r="K49" s="18"/>
      <c r="L49" s="58">
        <v>14</v>
      </c>
      <c r="P49" s="87"/>
    </row>
    <row r="50" spans="2:16" ht="12">
      <c r="B50" s="91">
        <f t="shared" si="3"/>
        <v>121.02</v>
      </c>
      <c r="C50" s="2" t="s">
        <v>2</v>
      </c>
      <c r="D50" s="2" t="s">
        <v>34</v>
      </c>
      <c r="E50" s="37">
        <v>1.38</v>
      </c>
      <c r="F50" s="39">
        <f t="shared" si="4"/>
        <v>5.914285714285714</v>
      </c>
      <c r="G50" s="4">
        <f t="shared" si="0"/>
        <v>0.09857142857142856</v>
      </c>
      <c r="H50" s="194">
        <f t="shared" si="1"/>
        <v>10.684570023865021</v>
      </c>
      <c r="I50" s="192" t="str">
        <f t="shared" si="9"/>
        <v>5:53 PM</v>
      </c>
      <c r="J50" s="169">
        <v>0.27569444444444446</v>
      </c>
      <c r="K50" s="18"/>
      <c r="L50" s="58">
        <v>14</v>
      </c>
      <c r="P50" s="87"/>
    </row>
    <row r="51" spans="2:20" ht="12">
      <c r="B51" s="91">
        <f t="shared" si="3"/>
        <v>122.39999999999999</v>
      </c>
      <c r="C51" s="2" t="s">
        <v>1</v>
      </c>
      <c r="D51" s="2" t="s">
        <v>35</v>
      </c>
      <c r="E51" s="37">
        <v>0.6000000000000227</v>
      </c>
      <c r="F51" s="39">
        <f t="shared" si="4"/>
        <v>2.571428571428669</v>
      </c>
      <c r="G51" s="4">
        <f t="shared" si="0"/>
        <v>0.04285714285714448</v>
      </c>
      <c r="H51" s="194">
        <f t="shared" si="1"/>
        <v>10.727427166722165</v>
      </c>
      <c r="I51" s="192" t="str">
        <f t="shared" si="9"/>
        <v>5:55 PM</v>
      </c>
      <c r="J51" s="169">
        <v>0.2777777777777778</v>
      </c>
      <c r="K51" s="18"/>
      <c r="L51" s="58">
        <v>14</v>
      </c>
      <c r="P51" s="87"/>
      <c r="S51">
        <v>26.14</v>
      </c>
      <c r="T51" t="s">
        <v>137</v>
      </c>
    </row>
    <row r="52" spans="2:20" ht="12.75">
      <c r="B52" s="91">
        <f t="shared" si="3"/>
        <v>123.00000000000001</v>
      </c>
      <c r="C52" s="2" t="s">
        <v>2</v>
      </c>
      <c r="D52" s="2" t="s">
        <v>36</v>
      </c>
      <c r="E52" s="37">
        <v>15.74</v>
      </c>
      <c r="F52" s="39">
        <f t="shared" si="4"/>
        <v>62.96000000000001</v>
      </c>
      <c r="G52" s="4">
        <f t="shared" si="0"/>
        <v>1.0493333333333335</v>
      </c>
      <c r="H52" s="194">
        <f t="shared" si="1"/>
        <v>11.776760500055499</v>
      </c>
      <c r="I52" s="192" t="str">
        <f t="shared" si="9"/>
        <v>6:57 PM</v>
      </c>
      <c r="J52" s="152">
        <v>0.3215277777777778</v>
      </c>
      <c r="K52" s="19"/>
      <c r="L52" s="58">
        <v>15</v>
      </c>
      <c r="P52" s="87"/>
      <c r="S52">
        <v>16.03</v>
      </c>
      <c r="T52" t="s">
        <v>136</v>
      </c>
    </row>
    <row r="53" spans="2:16" ht="12.75">
      <c r="B53" s="91">
        <f t="shared" si="3"/>
        <v>138.74</v>
      </c>
      <c r="C53" s="2" t="s">
        <v>16</v>
      </c>
      <c r="D53" s="2" t="s">
        <v>37</v>
      </c>
      <c r="E53" s="37">
        <v>3.3200000000000216</v>
      </c>
      <c r="F53" s="39">
        <f t="shared" si="4"/>
        <v>14.22857142857152</v>
      </c>
      <c r="G53" s="4">
        <f t="shared" si="0"/>
        <v>0.23714285714285868</v>
      </c>
      <c r="H53" s="194">
        <f t="shared" si="1"/>
        <v>12.013903357198357</v>
      </c>
      <c r="I53" s="192" t="str">
        <f t="shared" si="9"/>
        <v>7:11 PM</v>
      </c>
      <c r="J53" s="152">
        <v>0.33125</v>
      </c>
      <c r="K53" s="19"/>
      <c r="L53" s="58">
        <v>14</v>
      </c>
      <c r="P53" s="87"/>
    </row>
    <row r="54" spans="2:16" ht="12.75">
      <c r="B54" s="91">
        <f t="shared" si="3"/>
        <v>142.06000000000003</v>
      </c>
      <c r="C54" s="2" t="s">
        <v>1</v>
      </c>
      <c r="D54" s="2" t="s">
        <v>38</v>
      </c>
      <c r="E54" s="37">
        <v>2.829999999999984</v>
      </c>
      <c r="F54" s="39">
        <f t="shared" si="4"/>
        <v>13.061538461538388</v>
      </c>
      <c r="G54" s="4">
        <f t="shared" si="0"/>
        <v>0.21769230769230646</v>
      </c>
      <c r="H54" s="194">
        <f t="shared" si="1"/>
        <v>12.231595664890664</v>
      </c>
      <c r="I54" s="192" t="str">
        <f t="shared" si="9"/>
        <v>7:24 PM</v>
      </c>
      <c r="J54" s="152">
        <v>0.33958333333333335</v>
      </c>
      <c r="K54" s="19"/>
      <c r="L54" s="58">
        <v>13</v>
      </c>
      <c r="N54" s="6"/>
      <c r="O54" s="1">
        <f>SUM(F7:F55)</f>
        <v>744.0344014319015</v>
      </c>
      <c r="P54" s="87"/>
    </row>
    <row r="55" spans="2:16" ht="12.75">
      <c r="B55" s="91">
        <f t="shared" si="3"/>
        <v>144.89000000000001</v>
      </c>
      <c r="C55" s="2" t="s">
        <v>2</v>
      </c>
      <c r="D55" s="2" t="s">
        <v>39</v>
      </c>
      <c r="E55" s="37">
        <v>0.030000000000001137</v>
      </c>
      <c r="F55" s="39">
        <f t="shared" si="4"/>
        <v>0.13846153846154372</v>
      </c>
      <c r="G55" s="4">
        <f t="shared" si="0"/>
        <v>0.002307692307692395</v>
      </c>
      <c r="H55" s="194">
        <f t="shared" si="1"/>
        <v>12.233903357198356</v>
      </c>
      <c r="I55" s="192" t="str">
        <f t="shared" si="9"/>
        <v>7:24 PM</v>
      </c>
      <c r="J55" s="153">
        <v>0.34027777777777773</v>
      </c>
      <c r="K55" s="19"/>
      <c r="L55" s="58">
        <v>13</v>
      </c>
      <c r="O55">
        <f>+O54/60</f>
        <v>12.40057335719836</v>
      </c>
      <c r="P55" s="87"/>
    </row>
    <row r="56" spans="2:16" ht="33" customHeight="1" thickBot="1">
      <c r="B56" s="241">
        <f t="shared" si="3"/>
        <v>144.92000000000002</v>
      </c>
      <c r="C56" s="264" t="s">
        <v>167</v>
      </c>
      <c r="D56" s="265"/>
      <c r="E56" s="266"/>
      <c r="F56" s="157">
        <v>100</v>
      </c>
      <c r="G56" s="158">
        <f t="shared" si="0"/>
        <v>1.6666666666666667</v>
      </c>
      <c r="H56" s="202">
        <f t="shared" si="1"/>
        <v>13.900570023865022</v>
      </c>
      <c r="I56" s="219">
        <v>0.8784722222222222</v>
      </c>
      <c r="J56" s="154">
        <v>0.40972222222222227</v>
      </c>
      <c r="K56" s="19"/>
      <c r="L56">
        <v>0.001</v>
      </c>
      <c r="P56" s="87"/>
    </row>
    <row r="57" spans="2:16" ht="25.5">
      <c r="B57" s="232">
        <f t="shared" si="3"/>
        <v>144.92000000000002</v>
      </c>
      <c r="C57" s="236" t="s">
        <v>2</v>
      </c>
      <c r="D57" s="244" t="s">
        <v>40</v>
      </c>
      <c r="E57" s="234">
        <v>3.4399999999999693</v>
      </c>
      <c r="F57" s="136">
        <f t="shared" si="4"/>
        <v>15.876923076922935</v>
      </c>
      <c r="G57" s="138">
        <f>+E57/13</f>
        <v>0.26461538461538225</v>
      </c>
      <c r="H57" s="203">
        <f t="shared" si="1"/>
        <v>14.165185408480404</v>
      </c>
      <c r="I57" s="220" t="str">
        <f aca="true" t="shared" si="10" ref="I57:I69">TEXT(I56+(E57/(L57*24)),"h:mm am/pm")</f>
        <v>9:20 PM</v>
      </c>
      <c r="J57" s="155">
        <v>0.42083333333333334</v>
      </c>
      <c r="K57" s="19"/>
      <c r="L57" s="58">
        <v>13</v>
      </c>
      <c r="P57" s="87"/>
    </row>
    <row r="58" spans="2:16" ht="12.75">
      <c r="B58" s="226">
        <f t="shared" si="3"/>
        <v>148.35999999999999</v>
      </c>
      <c r="C58" s="227" t="s">
        <v>2</v>
      </c>
      <c r="D58" s="227" t="s">
        <v>41</v>
      </c>
      <c r="E58" s="228">
        <v>5.140000000000015</v>
      </c>
      <c r="F58" s="136">
        <f t="shared" si="4"/>
        <v>23.72307692307699</v>
      </c>
      <c r="G58" s="132">
        <f aca="true" t="shared" si="11" ref="G58:G68">+E58/13</f>
        <v>0.3953846153846165</v>
      </c>
      <c r="H58" s="200">
        <f t="shared" si="1"/>
        <v>14.56057002386502</v>
      </c>
      <c r="I58" s="220" t="str">
        <f t="shared" si="10"/>
        <v>9:43 PM</v>
      </c>
      <c r="J58" s="152">
        <v>0.4375</v>
      </c>
      <c r="K58" s="19"/>
      <c r="L58" s="58">
        <v>13</v>
      </c>
      <c r="P58" s="87"/>
    </row>
    <row r="59" spans="2:16" ht="12.75">
      <c r="B59" s="226">
        <f t="shared" si="3"/>
        <v>153.5</v>
      </c>
      <c r="C59" s="227" t="s">
        <v>1</v>
      </c>
      <c r="D59" s="227" t="s">
        <v>49</v>
      </c>
      <c r="E59" s="228">
        <v>1.3199999999999932</v>
      </c>
      <c r="F59" s="136">
        <f t="shared" si="4"/>
        <v>6.599999999999966</v>
      </c>
      <c r="G59" s="132">
        <f t="shared" si="11"/>
        <v>0.10153846153846101</v>
      </c>
      <c r="H59" s="200">
        <f t="shared" si="1"/>
        <v>14.66210848540348</v>
      </c>
      <c r="I59" s="220" t="str">
        <f t="shared" si="10"/>
        <v>9:49 PM</v>
      </c>
      <c r="J59" s="152">
        <v>0.44166666666666665</v>
      </c>
      <c r="K59" s="19"/>
      <c r="L59" s="58">
        <v>12</v>
      </c>
      <c r="P59" s="87"/>
    </row>
    <row r="60" spans="2:16" ht="12.75">
      <c r="B60" s="226">
        <f t="shared" si="3"/>
        <v>154.82</v>
      </c>
      <c r="C60" s="227" t="s">
        <v>1</v>
      </c>
      <c r="D60" s="227" t="s">
        <v>50</v>
      </c>
      <c r="E60" s="228">
        <v>1.579999999999984</v>
      </c>
      <c r="F60" s="136">
        <f t="shared" si="4"/>
        <v>7.899999999999921</v>
      </c>
      <c r="G60" s="132">
        <f t="shared" si="11"/>
        <v>0.12153846153846032</v>
      </c>
      <c r="H60" s="200">
        <f t="shared" si="1"/>
        <v>14.783646946941941</v>
      </c>
      <c r="I60" s="220" t="str">
        <f t="shared" si="10"/>
        <v>9:56 PM</v>
      </c>
      <c r="J60" s="152">
        <v>0.4465277777777778</v>
      </c>
      <c r="K60" s="19"/>
      <c r="L60" s="58">
        <v>12</v>
      </c>
      <c r="P60" s="87"/>
    </row>
    <row r="61" spans="2:16" ht="12.75">
      <c r="B61" s="226">
        <f t="shared" si="3"/>
        <v>156.39999999999998</v>
      </c>
      <c r="C61" s="227" t="s">
        <v>51</v>
      </c>
      <c r="D61" s="227" t="s">
        <v>52</v>
      </c>
      <c r="E61" s="228">
        <v>0.19000000000002615</v>
      </c>
      <c r="F61" s="136">
        <f t="shared" si="4"/>
        <v>1.036363636363779</v>
      </c>
      <c r="G61" s="132">
        <f t="shared" si="11"/>
        <v>0.014615384615386627</v>
      </c>
      <c r="H61" s="200">
        <f t="shared" si="1"/>
        <v>14.798262331557327</v>
      </c>
      <c r="I61" s="220" t="str">
        <f t="shared" si="10"/>
        <v>9:57 PM</v>
      </c>
      <c r="J61" s="152">
        <v>0.4472222222222222</v>
      </c>
      <c r="K61" s="19"/>
      <c r="L61" s="58">
        <v>11</v>
      </c>
      <c r="P61" s="87"/>
    </row>
    <row r="62" spans="2:16" ht="12.75">
      <c r="B62" s="226">
        <f t="shared" si="3"/>
        <v>156.59</v>
      </c>
      <c r="C62" s="227" t="s">
        <v>2</v>
      </c>
      <c r="D62" s="227" t="s">
        <v>55</v>
      </c>
      <c r="E62" s="228">
        <v>0.8499999999999943</v>
      </c>
      <c r="F62" s="136">
        <f t="shared" si="4"/>
        <v>4.249999999999972</v>
      </c>
      <c r="G62" s="132">
        <f t="shared" si="11"/>
        <v>0.06538461538461494</v>
      </c>
      <c r="H62" s="200">
        <f t="shared" si="1"/>
        <v>14.863646946941941</v>
      </c>
      <c r="I62" s="221" t="str">
        <f t="shared" si="10"/>
        <v>10:01 PM</v>
      </c>
      <c r="J62" s="152">
        <v>0.45</v>
      </c>
      <c r="K62" s="19"/>
      <c r="L62" s="58">
        <v>12</v>
      </c>
      <c r="P62" s="87"/>
    </row>
    <row r="63" spans="2:16" ht="12.75">
      <c r="B63" s="226">
        <f t="shared" si="3"/>
        <v>157.44</v>
      </c>
      <c r="C63" s="227" t="s">
        <v>1</v>
      </c>
      <c r="D63" s="227" t="s">
        <v>54</v>
      </c>
      <c r="E63" s="228">
        <v>0.47999999999998977</v>
      </c>
      <c r="F63" s="136">
        <f t="shared" si="4"/>
        <v>2.399999999999949</v>
      </c>
      <c r="G63" s="132">
        <f t="shared" si="11"/>
        <v>0.036923076923076135</v>
      </c>
      <c r="H63" s="200">
        <f t="shared" si="1"/>
        <v>14.900570023865017</v>
      </c>
      <c r="I63" s="217" t="str">
        <f t="shared" si="10"/>
        <v>10:03 PM</v>
      </c>
      <c r="J63" s="152">
        <v>0.4513888888888889</v>
      </c>
      <c r="K63" s="19"/>
      <c r="L63" s="58">
        <v>12</v>
      </c>
      <c r="P63" s="87"/>
    </row>
    <row r="64" spans="2:16" ht="12.75">
      <c r="B64" s="226">
        <f t="shared" si="3"/>
        <v>157.92</v>
      </c>
      <c r="C64" s="227" t="s">
        <v>2</v>
      </c>
      <c r="D64" s="227" t="s">
        <v>53</v>
      </c>
      <c r="E64" s="228">
        <v>1.22</v>
      </c>
      <c r="F64" s="136">
        <f t="shared" si="4"/>
        <v>6.1000000000000005</v>
      </c>
      <c r="G64" s="132">
        <f t="shared" si="11"/>
        <v>0.09384615384615384</v>
      </c>
      <c r="H64" s="200">
        <f t="shared" si="1"/>
        <v>14.994416177711171</v>
      </c>
      <c r="I64" s="217" t="str">
        <f t="shared" si="10"/>
        <v>10:09 PM</v>
      </c>
      <c r="J64" s="152">
        <v>0.45555555555555555</v>
      </c>
      <c r="K64" s="19"/>
      <c r="L64" s="58">
        <v>12</v>
      </c>
      <c r="P64" s="87"/>
    </row>
    <row r="65" spans="2:16" ht="12.75">
      <c r="B65" s="226">
        <f t="shared" si="3"/>
        <v>159.14</v>
      </c>
      <c r="C65" s="227" t="s">
        <v>1</v>
      </c>
      <c r="D65" s="227" t="s">
        <v>56</v>
      </c>
      <c r="E65" s="228">
        <v>0.5</v>
      </c>
      <c r="F65" s="136">
        <f t="shared" si="4"/>
        <v>2.5</v>
      </c>
      <c r="G65" s="132">
        <f t="shared" si="11"/>
        <v>0.038461538461538464</v>
      </c>
      <c r="H65" s="200">
        <f t="shared" si="1"/>
        <v>15.03287771617271</v>
      </c>
      <c r="I65" s="217" t="str">
        <f t="shared" si="10"/>
        <v>10:11 PM</v>
      </c>
      <c r="J65" s="152">
        <v>0.45694444444444443</v>
      </c>
      <c r="K65" s="19"/>
      <c r="L65" s="58">
        <v>12</v>
      </c>
      <c r="P65" s="87"/>
    </row>
    <row r="66" spans="2:16" ht="12.75">
      <c r="B66" s="226">
        <f t="shared" si="3"/>
        <v>159.64</v>
      </c>
      <c r="C66" s="227" t="s">
        <v>2</v>
      </c>
      <c r="D66" s="227" t="s">
        <v>57</v>
      </c>
      <c r="E66" s="228">
        <v>1</v>
      </c>
      <c r="F66" s="136">
        <f t="shared" si="4"/>
        <v>5</v>
      </c>
      <c r="G66" s="132">
        <f t="shared" si="11"/>
        <v>0.07692307692307693</v>
      </c>
      <c r="H66" s="200">
        <f t="shared" si="1"/>
        <v>15.109800793095786</v>
      </c>
      <c r="I66" s="217" t="str">
        <f t="shared" si="10"/>
        <v>10:16 PM</v>
      </c>
      <c r="J66" s="152">
        <v>0.4604166666666667</v>
      </c>
      <c r="K66" s="19"/>
      <c r="L66" s="58">
        <v>12</v>
      </c>
      <c r="P66" s="87"/>
    </row>
    <row r="67" spans="2:16" ht="12.75">
      <c r="B67" s="226">
        <f t="shared" si="3"/>
        <v>160.64</v>
      </c>
      <c r="C67" s="227" t="s">
        <v>1</v>
      </c>
      <c r="D67" s="227" t="s">
        <v>58</v>
      </c>
      <c r="E67" s="228">
        <v>6.240000000000009</v>
      </c>
      <c r="F67" s="136">
        <f t="shared" si="4"/>
        <v>28.800000000000043</v>
      </c>
      <c r="G67" s="132">
        <f t="shared" si="11"/>
        <v>0.4800000000000007</v>
      </c>
      <c r="H67" s="200">
        <f t="shared" si="1"/>
        <v>15.589800793095787</v>
      </c>
      <c r="I67" s="217" t="str">
        <f t="shared" si="10"/>
        <v>10:44 PM</v>
      </c>
      <c r="J67" s="152">
        <v>0.48055555555555557</v>
      </c>
      <c r="K67" s="19"/>
      <c r="L67" s="58">
        <v>13</v>
      </c>
      <c r="P67" s="87"/>
    </row>
    <row r="68" spans="2:16" ht="12.75">
      <c r="B68" s="226">
        <f t="shared" si="3"/>
        <v>166.88</v>
      </c>
      <c r="C68" s="227" t="s">
        <v>2</v>
      </c>
      <c r="D68" s="227" t="s">
        <v>59</v>
      </c>
      <c r="E68" s="228">
        <v>1.4</v>
      </c>
      <c r="F68" s="136">
        <f t="shared" si="4"/>
        <v>6.999999999999999</v>
      </c>
      <c r="G68" s="132">
        <f t="shared" si="11"/>
        <v>0.10769230769230768</v>
      </c>
      <c r="H68" s="200">
        <f t="shared" si="1"/>
        <v>15.697493100788094</v>
      </c>
      <c r="I68" s="217" t="str">
        <f t="shared" si="10"/>
        <v>10:51 PM</v>
      </c>
      <c r="J68" s="152">
        <v>0.4847222222222222</v>
      </c>
      <c r="K68" s="19"/>
      <c r="L68" s="58">
        <v>12</v>
      </c>
      <c r="P68" s="87"/>
    </row>
    <row r="69" spans="2:16" ht="12.75">
      <c r="B69" s="229">
        <f t="shared" si="3"/>
        <v>168.28</v>
      </c>
      <c r="C69" s="230" t="s">
        <v>2</v>
      </c>
      <c r="D69" s="230" t="s">
        <v>60</v>
      </c>
      <c r="E69" s="231">
        <v>0.05</v>
      </c>
      <c r="F69" s="159">
        <f t="shared" si="4"/>
        <v>0.3</v>
      </c>
      <c r="G69" s="134">
        <f t="shared" si="0"/>
        <v>0.005</v>
      </c>
      <c r="H69" s="201">
        <f t="shared" si="1"/>
        <v>15.702493100788095</v>
      </c>
      <c r="I69" s="218" t="str">
        <f t="shared" si="10"/>
        <v>10:51 PM</v>
      </c>
      <c r="J69" s="153">
        <v>0.4847222222222222</v>
      </c>
      <c r="K69" s="19"/>
      <c r="L69" s="58">
        <v>10</v>
      </c>
      <c r="P69" s="87"/>
    </row>
    <row r="70" spans="2:16" ht="30" customHeight="1" thickBot="1">
      <c r="B70" s="241">
        <f t="shared" si="3"/>
        <v>168.33</v>
      </c>
      <c r="C70" s="260" t="s">
        <v>113</v>
      </c>
      <c r="D70" s="261"/>
      <c r="E70" s="182"/>
      <c r="F70" s="183">
        <v>60</v>
      </c>
      <c r="G70" s="184">
        <f t="shared" si="0"/>
        <v>1</v>
      </c>
      <c r="H70" s="204">
        <f t="shared" si="1"/>
        <v>16.702493100788097</v>
      </c>
      <c r="I70" s="219">
        <v>0.99375</v>
      </c>
      <c r="J70" s="156">
        <v>0.5263888888888889</v>
      </c>
      <c r="K70" s="19"/>
      <c r="L70" s="58">
        <v>0.001</v>
      </c>
      <c r="N70" s="86" t="s">
        <v>101</v>
      </c>
      <c r="O70" s="14" t="s">
        <v>46</v>
      </c>
      <c r="P70" s="87"/>
    </row>
    <row r="71" spans="2:16" ht="12.75">
      <c r="B71" s="235">
        <f>+B70+D70</f>
        <v>168.33</v>
      </c>
      <c r="C71" s="236" t="s">
        <v>61</v>
      </c>
      <c r="D71" s="236" t="s">
        <v>62</v>
      </c>
      <c r="E71" s="237">
        <v>0.4</v>
      </c>
      <c r="F71" s="136">
        <f t="shared" si="4"/>
        <v>2</v>
      </c>
      <c r="G71" s="137">
        <f t="shared" si="0"/>
        <v>0.03333333333333333</v>
      </c>
      <c r="H71" s="203">
        <f t="shared" si="1"/>
        <v>16.73582643412143</v>
      </c>
      <c r="I71" s="222" t="str">
        <f>TEXT(I70+(E71/(L71*24)),"h:mm am/pm")</f>
        <v>11:53 PM</v>
      </c>
      <c r="J71" s="178">
        <v>0.5277777777777778</v>
      </c>
      <c r="K71" s="19"/>
      <c r="L71" s="58">
        <v>12</v>
      </c>
      <c r="N71" s="81">
        <f>+O71/60</f>
        <v>0.03333333333333333</v>
      </c>
      <c r="O71" s="82">
        <v>2</v>
      </c>
      <c r="P71" s="87"/>
    </row>
    <row r="72" spans="2:16" ht="12.75">
      <c r="B72" s="226">
        <f t="shared" si="3"/>
        <v>168.73000000000002</v>
      </c>
      <c r="C72" s="227" t="s">
        <v>1</v>
      </c>
      <c r="D72" s="227" t="s">
        <v>63</v>
      </c>
      <c r="E72" s="238">
        <v>9.5</v>
      </c>
      <c r="F72" s="136">
        <f t="shared" si="4"/>
        <v>43.84615384615385</v>
      </c>
      <c r="G72" s="131">
        <f aca="true" t="shared" si="12" ref="G72:G123">+F72/60</f>
        <v>0.7307692307692307</v>
      </c>
      <c r="H72" s="200">
        <f aca="true" t="shared" si="13" ref="H72:H110">+H71+G72</f>
        <v>17.46659566489066</v>
      </c>
      <c r="I72" s="223" t="str">
        <f>TEXT(I71+(E72/(L72*24)),"h:mm")</f>
        <v>0:36</v>
      </c>
      <c r="J72" s="152">
        <v>0.05833333333333333</v>
      </c>
      <c r="K72" s="19"/>
      <c r="L72" s="58">
        <v>13</v>
      </c>
      <c r="N72" s="78">
        <f aca="true" t="shared" si="14" ref="N72:N100">+O72/60</f>
        <v>0.06666666666666667</v>
      </c>
      <c r="O72" s="79">
        <v>4</v>
      </c>
      <c r="P72" s="87"/>
    </row>
    <row r="73" spans="2:16" ht="12.75">
      <c r="B73" s="226">
        <f t="shared" si="3"/>
        <v>178.23000000000002</v>
      </c>
      <c r="C73" s="227" t="s">
        <v>16</v>
      </c>
      <c r="D73" s="227" t="s">
        <v>141</v>
      </c>
      <c r="E73" s="238">
        <v>0.3</v>
      </c>
      <c r="F73" s="136">
        <f>+E73/L73*60</f>
        <v>1.4999999999999998</v>
      </c>
      <c r="G73" s="131">
        <f t="shared" si="12"/>
        <v>0.024999999999999998</v>
      </c>
      <c r="H73" s="200">
        <f t="shared" si="13"/>
        <v>17.49159566489066</v>
      </c>
      <c r="I73" s="223" t="str">
        <f>TEXT(I72+(E73/(L73*24)),"h:mm")</f>
        <v>0:37</v>
      </c>
      <c r="J73" s="152">
        <v>0.05902777777777778</v>
      </c>
      <c r="K73" s="181">
        <f>-9.805+10.149</f>
        <v>0.3439999999999994</v>
      </c>
      <c r="L73" s="58">
        <v>12</v>
      </c>
      <c r="N73" s="78">
        <f t="shared" si="14"/>
        <v>0.1</v>
      </c>
      <c r="O73" s="79">
        <v>6</v>
      </c>
      <c r="P73" s="87"/>
    </row>
    <row r="74" spans="2:16" ht="12.75">
      <c r="B74" s="226">
        <f t="shared" si="3"/>
        <v>178.53000000000003</v>
      </c>
      <c r="C74" s="227" t="s">
        <v>1</v>
      </c>
      <c r="D74" s="227" t="s">
        <v>142</v>
      </c>
      <c r="E74" s="238">
        <v>1.8</v>
      </c>
      <c r="F74" s="136">
        <f>+E74/L74*60</f>
        <v>9</v>
      </c>
      <c r="G74" s="131">
        <f t="shared" si="12"/>
        <v>0.15</v>
      </c>
      <c r="H74" s="200">
        <f t="shared" si="13"/>
        <v>17.64159566489066</v>
      </c>
      <c r="I74" s="223" t="str">
        <f>TEXT(I73+(E74/(L74*24)),"h:mm")</f>
        <v>0:46</v>
      </c>
      <c r="J74" s="152">
        <v>0.06458333333333334</v>
      </c>
      <c r="K74" s="181">
        <f>11.993-10.149</f>
        <v>1.8440000000000012</v>
      </c>
      <c r="L74" s="58">
        <v>12</v>
      </c>
      <c r="N74" s="78">
        <f t="shared" si="14"/>
        <v>0.13333333333333333</v>
      </c>
      <c r="O74" s="79">
        <v>8</v>
      </c>
      <c r="P74" s="87"/>
    </row>
    <row r="75" spans="2:16" ht="12.75">
      <c r="B75" s="226">
        <f t="shared" si="3"/>
        <v>180.33000000000004</v>
      </c>
      <c r="C75" s="230" t="s">
        <v>1</v>
      </c>
      <c r="D75" s="230" t="s">
        <v>143</v>
      </c>
      <c r="E75" s="239">
        <v>0.1</v>
      </c>
      <c r="F75" s="136">
        <f>+E75/L75*60</f>
        <v>0.6</v>
      </c>
      <c r="G75" s="133">
        <f t="shared" si="12"/>
        <v>0.01</v>
      </c>
      <c r="H75" s="201">
        <f>+H74+G75</f>
        <v>17.65159566489066</v>
      </c>
      <c r="I75" s="224" t="str">
        <f>TEXT(I74+(E75/(L75*24)),"h:mm")</f>
        <v>0:46</v>
      </c>
      <c r="J75" s="152">
        <v>0.06458333333333334</v>
      </c>
      <c r="K75" s="181"/>
      <c r="L75" s="58">
        <v>10</v>
      </c>
      <c r="N75" s="78">
        <f t="shared" si="14"/>
        <v>0.16666666666666666</v>
      </c>
      <c r="O75" s="79">
        <v>10</v>
      </c>
      <c r="P75" s="87"/>
    </row>
    <row r="76" spans="2:16" ht="29.25" customHeight="1" thickBot="1">
      <c r="B76" s="241">
        <f aca="true" t="shared" si="15" ref="B76:B94">+B75+E75</f>
        <v>180.43000000000004</v>
      </c>
      <c r="C76" s="262" t="s">
        <v>147</v>
      </c>
      <c r="D76" s="263"/>
      <c r="E76" s="160"/>
      <c r="F76" s="161">
        <v>40</v>
      </c>
      <c r="G76" s="162">
        <f t="shared" si="12"/>
        <v>0.6666666666666666</v>
      </c>
      <c r="H76" s="205">
        <f t="shared" si="13"/>
        <v>18.318262331557328</v>
      </c>
      <c r="I76" s="219">
        <v>0.05902777777777778</v>
      </c>
      <c r="J76" s="152">
        <v>0.09375</v>
      </c>
      <c r="K76" s="181"/>
      <c r="L76" s="58">
        <v>0.001</v>
      </c>
      <c r="N76" s="78">
        <f t="shared" si="14"/>
        <v>0.2</v>
      </c>
      <c r="O76" s="79">
        <v>12</v>
      </c>
      <c r="P76" s="87"/>
    </row>
    <row r="77" spans="2:16" ht="12.75">
      <c r="B77" s="232">
        <f t="shared" si="15"/>
        <v>180.43000000000004</v>
      </c>
      <c r="C77" s="233" t="s">
        <v>1</v>
      </c>
      <c r="D77" s="233" t="s">
        <v>145</v>
      </c>
      <c r="E77" s="240">
        <v>0.7</v>
      </c>
      <c r="F77" s="135">
        <f aca="true" t="shared" si="16" ref="F77:F89">+E77/L77*60</f>
        <v>3.818181818181818</v>
      </c>
      <c r="G77" s="139">
        <f t="shared" si="12"/>
        <v>0.06363636363636363</v>
      </c>
      <c r="H77" s="206">
        <f t="shared" si="13"/>
        <v>18.38189869519369</v>
      </c>
      <c r="I77" s="225" t="str">
        <f aca="true" t="shared" si="17" ref="I77:I89">TEXT(I76+(E77/(L77*24)),"h:mm")</f>
        <v>1:28</v>
      </c>
      <c r="J77" s="152">
        <v>0.10486111111111111</v>
      </c>
      <c r="K77" s="181"/>
      <c r="L77" s="58">
        <v>11</v>
      </c>
      <c r="N77" s="78">
        <f t="shared" si="14"/>
        <v>0.23333333333333334</v>
      </c>
      <c r="O77" s="79">
        <v>14</v>
      </c>
      <c r="P77" s="87"/>
    </row>
    <row r="78" spans="2:16" ht="12.75">
      <c r="B78" s="226">
        <f t="shared" si="15"/>
        <v>181.13000000000002</v>
      </c>
      <c r="C78" s="227" t="s">
        <v>2</v>
      </c>
      <c r="D78" s="227" t="s">
        <v>144</v>
      </c>
      <c r="E78" s="238">
        <v>0.16</v>
      </c>
      <c r="F78" s="136">
        <f t="shared" si="16"/>
        <v>0.96</v>
      </c>
      <c r="G78" s="131">
        <f t="shared" si="12"/>
        <v>0.016</v>
      </c>
      <c r="H78" s="200">
        <f t="shared" si="13"/>
        <v>18.39789869519369</v>
      </c>
      <c r="I78" s="223" t="str">
        <f t="shared" si="17"/>
        <v>1:28</v>
      </c>
      <c r="J78" s="152">
        <v>0.10902777777777778</v>
      </c>
      <c r="K78" s="181"/>
      <c r="L78" s="58">
        <v>10</v>
      </c>
      <c r="N78" s="78">
        <f t="shared" si="14"/>
        <v>0.26666666666666666</v>
      </c>
      <c r="O78" s="79">
        <v>16</v>
      </c>
      <c r="P78" s="87"/>
    </row>
    <row r="79" spans="2:16" ht="12.75">
      <c r="B79" s="226">
        <f t="shared" si="15"/>
        <v>181.29000000000002</v>
      </c>
      <c r="C79" s="227" t="s">
        <v>1</v>
      </c>
      <c r="D79" s="227" t="s">
        <v>146</v>
      </c>
      <c r="E79" s="238">
        <v>2.1</v>
      </c>
      <c r="F79" s="136">
        <f t="shared" si="16"/>
        <v>10.500000000000002</v>
      </c>
      <c r="G79" s="131">
        <f t="shared" si="12"/>
        <v>0.17500000000000002</v>
      </c>
      <c r="H79" s="200">
        <f t="shared" si="13"/>
        <v>18.57289869519369</v>
      </c>
      <c r="I79" s="223" t="str">
        <f t="shared" si="17"/>
        <v>1:38</v>
      </c>
      <c r="J79" s="152">
        <v>0.10972222222222222</v>
      </c>
      <c r="K79" s="181">
        <v>0.874</v>
      </c>
      <c r="L79" s="58">
        <v>12</v>
      </c>
      <c r="N79" s="78">
        <f t="shared" si="14"/>
        <v>0.3</v>
      </c>
      <c r="O79" s="79">
        <v>18</v>
      </c>
      <c r="P79" s="87"/>
    </row>
    <row r="80" spans="2:16" ht="25.5">
      <c r="B80" s="226">
        <f t="shared" si="15"/>
        <v>183.39000000000001</v>
      </c>
      <c r="C80" s="227" t="s">
        <v>2</v>
      </c>
      <c r="D80" s="243" t="s">
        <v>64</v>
      </c>
      <c r="E80" s="238">
        <v>12.1</v>
      </c>
      <c r="F80" s="136">
        <f t="shared" si="16"/>
        <v>65.99999999999999</v>
      </c>
      <c r="G80" s="131">
        <f t="shared" si="12"/>
        <v>1.0999999999999999</v>
      </c>
      <c r="H80" s="200">
        <f t="shared" si="13"/>
        <v>19.67289869519369</v>
      </c>
      <c r="I80" s="223" t="str">
        <f t="shared" si="17"/>
        <v>2:44</v>
      </c>
      <c r="J80" s="152">
        <v>0.1486111111111111</v>
      </c>
      <c r="K80" s="181">
        <f>3+-K79</f>
        <v>2.126</v>
      </c>
      <c r="L80" s="58">
        <v>11</v>
      </c>
      <c r="N80" s="78">
        <f t="shared" si="14"/>
        <v>0.3333333333333333</v>
      </c>
      <c r="O80" s="79">
        <v>20</v>
      </c>
      <c r="P80" s="87"/>
    </row>
    <row r="81" spans="2:16" ht="12.75">
      <c r="B81" s="226">
        <f t="shared" si="15"/>
        <v>195.49</v>
      </c>
      <c r="C81" s="227" t="s">
        <v>1</v>
      </c>
      <c r="D81" s="227" t="s">
        <v>65</v>
      </c>
      <c r="E81" s="238">
        <v>3.2</v>
      </c>
      <c r="F81" s="136">
        <f t="shared" si="16"/>
        <v>16</v>
      </c>
      <c r="G81" s="131">
        <f t="shared" si="12"/>
        <v>0.26666666666666666</v>
      </c>
      <c r="H81" s="200">
        <f t="shared" si="13"/>
        <v>19.939565361860357</v>
      </c>
      <c r="I81" s="223" t="str">
        <f t="shared" si="17"/>
        <v>3:00</v>
      </c>
      <c r="J81" s="152">
        <v>0.16041666666666668</v>
      </c>
      <c r="K81" s="181"/>
      <c r="L81" s="58">
        <v>12</v>
      </c>
      <c r="N81" s="78">
        <f t="shared" si="14"/>
        <v>0.36666666666666664</v>
      </c>
      <c r="O81" s="79">
        <f>+O80+2</f>
        <v>22</v>
      </c>
      <c r="P81" s="87"/>
    </row>
    <row r="82" spans="2:16" ht="12.75">
      <c r="B82" s="226">
        <f t="shared" si="15"/>
        <v>198.69</v>
      </c>
      <c r="C82" s="227" t="s">
        <v>16</v>
      </c>
      <c r="D82" s="227" t="s">
        <v>65</v>
      </c>
      <c r="E82" s="238">
        <v>4.2</v>
      </c>
      <c r="F82" s="136">
        <f t="shared" si="16"/>
        <v>25.200000000000003</v>
      </c>
      <c r="G82" s="131">
        <f t="shared" si="12"/>
        <v>0.42000000000000004</v>
      </c>
      <c r="H82" s="200">
        <f t="shared" si="13"/>
        <v>20.35956536186036</v>
      </c>
      <c r="I82" s="223" t="str">
        <f t="shared" si="17"/>
        <v>3:25</v>
      </c>
      <c r="J82" s="152">
        <v>0.175</v>
      </c>
      <c r="K82" s="181"/>
      <c r="L82" s="58">
        <v>10</v>
      </c>
      <c r="N82" s="78">
        <f t="shared" si="14"/>
        <v>0.4</v>
      </c>
      <c r="O82" s="79">
        <f aca="true" t="shared" si="18" ref="O82:O100">+O81+2</f>
        <v>24</v>
      </c>
      <c r="P82" s="87"/>
    </row>
    <row r="83" spans="2:16" ht="12.75">
      <c r="B83" s="226">
        <f t="shared" si="15"/>
        <v>202.89</v>
      </c>
      <c r="C83" s="227" t="s">
        <v>1</v>
      </c>
      <c r="D83" s="227" t="s">
        <v>66</v>
      </c>
      <c r="E83" s="238">
        <v>6.85</v>
      </c>
      <c r="F83" s="136">
        <f t="shared" si="16"/>
        <v>34.25</v>
      </c>
      <c r="G83" s="131">
        <f t="shared" si="12"/>
        <v>0.5708333333333333</v>
      </c>
      <c r="H83" s="200">
        <f t="shared" si="13"/>
        <v>20.93039869519369</v>
      </c>
      <c r="I83" s="223" t="str">
        <f t="shared" si="17"/>
        <v>3:59</v>
      </c>
      <c r="J83" s="152">
        <v>0.19722222222222222</v>
      </c>
      <c r="K83" s="181"/>
      <c r="L83" s="58">
        <v>12</v>
      </c>
      <c r="N83" s="78">
        <f t="shared" si="14"/>
        <v>0.43333333333333335</v>
      </c>
      <c r="O83" s="79">
        <f t="shared" si="18"/>
        <v>26</v>
      </c>
      <c r="P83" s="87"/>
    </row>
    <row r="84" spans="2:16" ht="12.75">
      <c r="B84" s="226">
        <f t="shared" si="15"/>
        <v>209.73999999999998</v>
      </c>
      <c r="C84" s="227" t="s">
        <v>2</v>
      </c>
      <c r="D84" s="227" t="s">
        <v>160</v>
      </c>
      <c r="E84" s="238">
        <v>1.9</v>
      </c>
      <c r="F84" s="136">
        <f t="shared" si="16"/>
        <v>9.5</v>
      </c>
      <c r="G84" s="131">
        <f t="shared" si="12"/>
        <v>0.15833333333333333</v>
      </c>
      <c r="H84" s="200">
        <f t="shared" si="13"/>
        <v>21.088732028527026</v>
      </c>
      <c r="I84" s="223" t="str">
        <f t="shared" si="17"/>
        <v>4:08</v>
      </c>
      <c r="J84" s="152">
        <v>0.2027777777777778</v>
      </c>
      <c r="K84" s="181"/>
      <c r="L84" s="58">
        <v>12</v>
      </c>
      <c r="N84" s="78">
        <f t="shared" si="14"/>
        <v>0.4666666666666667</v>
      </c>
      <c r="O84" s="79">
        <f t="shared" si="18"/>
        <v>28</v>
      </c>
      <c r="P84" s="87"/>
    </row>
    <row r="85" spans="2:16" ht="12.75">
      <c r="B85" s="226">
        <f t="shared" si="15"/>
        <v>211.64</v>
      </c>
      <c r="C85" s="227" t="s">
        <v>2</v>
      </c>
      <c r="D85" s="227" t="s">
        <v>67</v>
      </c>
      <c r="E85" s="238">
        <v>0.6</v>
      </c>
      <c r="F85" s="136">
        <f t="shared" si="16"/>
        <v>2.9999999999999996</v>
      </c>
      <c r="G85" s="131">
        <f t="shared" si="12"/>
        <v>0.049999999999999996</v>
      </c>
      <c r="H85" s="200">
        <f t="shared" si="13"/>
        <v>21.138732028527027</v>
      </c>
      <c r="I85" s="223" t="str">
        <f t="shared" si="17"/>
        <v>4:11</v>
      </c>
      <c r="J85" s="152">
        <v>0.20486111111111113</v>
      </c>
      <c r="K85" s="181"/>
      <c r="L85" s="58">
        <v>12</v>
      </c>
      <c r="N85" s="78">
        <f t="shared" si="14"/>
        <v>0.5</v>
      </c>
      <c r="O85" s="79">
        <f t="shared" si="18"/>
        <v>30</v>
      </c>
      <c r="P85" s="87"/>
    </row>
    <row r="86" spans="2:16" ht="25.5">
      <c r="B86" s="226">
        <f t="shared" si="15"/>
        <v>212.23999999999998</v>
      </c>
      <c r="C86" s="227" t="s">
        <v>16</v>
      </c>
      <c r="D86" s="243" t="s">
        <v>68</v>
      </c>
      <c r="E86" s="238">
        <v>2.9</v>
      </c>
      <c r="F86" s="136">
        <f t="shared" si="16"/>
        <v>14.5</v>
      </c>
      <c r="G86" s="131">
        <f t="shared" si="12"/>
        <v>0.24166666666666667</v>
      </c>
      <c r="H86" s="200">
        <f t="shared" si="13"/>
        <v>21.380398695193694</v>
      </c>
      <c r="I86" s="223" t="str">
        <f t="shared" si="17"/>
        <v>4:25</v>
      </c>
      <c r="J86" s="152">
        <v>0.21319444444444444</v>
      </c>
      <c r="K86" s="181"/>
      <c r="L86" s="58">
        <v>12</v>
      </c>
      <c r="N86" s="78">
        <f t="shared" si="14"/>
        <v>0.5333333333333333</v>
      </c>
      <c r="O86" s="79">
        <f t="shared" si="18"/>
        <v>32</v>
      </c>
      <c r="P86" s="87"/>
    </row>
    <row r="87" spans="2:17" ht="12.75">
      <c r="B87" s="226">
        <f t="shared" si="15"/>
        <v>215.14</v>
      </c>
      <c r="C87" s="227" t="s">
        <v>1</v>
      </c>
      <c r="D87" s="227" t="s">
        <v>78</v>
      </c>
      <c r="E87" s="238">
        <v>0.05</v>
      </c>
      <c r="F87" s="136">
        <f t="shared" si="16"/>
        <v>0.25</v>
      </c>
      <c r="G87" s="131">
        <f t="shared" si="12"/>
        <v>0.004166666666666667</v>
      </c>
      <c r="H87" s="200">
        <f t="shared" si="13"/>
        <v>21.38456536186036</v>
      </c>
      <c r="I87" s="223" t="str">
        <f t="shared" si="17"/>
        <v>4:25</v>
      </c>
      <c r="J87" s="152">
        <v>0.2138888888888889</v>
      </c>
      <c r="K87" s="181"/>
      <c r="L87" s="58">
        <v>12</v>
      </c>
      <c r="N87" s="78">
        <f t="shared" si="14"/>
        <v>0.5666666666666667</v>
      </c>
      <c r="O87" s="79">
        <f t="shared" si="18"/>
        <v>34</v>
      </c>
      <c r="P87" s="87"/>
      <c r="Q87" s="1"/>
    </row>
    <row r="88" spans="2:16" ht="12.75">
      <c r="B88" s="226">
        <f t="shared" si="15"/>
        <v>215.19</v>
      </c>
      <c r="C88" s="227" t="s">
        <v>16</v>
      </c>
      <c r="D88" s="227" t="s">
        <v>161</v>
      </c>
      <c r="E88" s="238">
        <v>1</v>
      </c>
      <c r="F88" s="136">
        <f t="shared" si="16"/>
        <v>5</v>
      </c>
      <c r="G88" s="131">
        <f t="shared" si="12"/>
        <v>0.08333333333333333</v>
      </c>
      <c r="H88" s="200">
        <f t="shared" si="13"/>
        <v>21.467898695193693</v>
      </c>
      <c r="I88" s="223" t="str">
        <f t="shared" si="17"/>
        <v>4:30</v>
      </c>
      <c r="J88" s="152">
        <v>0.21736111111111112</v>
      </c>
      <c r="K88" s="181"/>
      <c r="L88" s="58">
        <v>12</v>
      </c>
      <c r="N88" s="78">
        <f t="shared" si="14"/>
        <v>0.6</v>
      </c>
      <c r="O88" s="79">
        <f t="shared" si="18"/>
        <v>36</v>
      </c>
      <c r="P88" s="87"/>
    </row>
    <row r="89" spans="2:17" ht="12.75">
      <c r="B89" s="226">
        <f t="shared" si="15"/>
        <v>216.19</v>
      </c>
      <c r="C89" s="227" t="s">
        <v>2</v>
      </c>
      <c r="D89" s="227" t="s">
        <v>103</v>
      </c>
      <c r="E89" s="238">
        <v>0.2</v>
      </c>
      <c r="F89" s="159">
        <f t="shared" si="16"/>
        <v>1</v>
      </c>
      <c r="G89" s="133">
        <f t="shared" si="12"/>
        <v>0.016666666666666666</v>
      </c>
      <c r="H89" s="201">
        <f t="shared" si="13"/>
        <v>21.48456536186036</v>
      </c>
      <c r="I89" s="224" t="str">
        <f t="shared" si="17"/>
        <v>4:31</v>
      </c>
      <c r="J89" s="152">
        <v>0.21875</v>
      </c>
      <c r="K89" s="181"/>
      <c r="L89" s="58">
        <v>12</v>
      </c>
      <c r="N89" s="78">
        <f t="shared" si="14"/>
        <v>0.6333333333333333</v>
      </c>
      <c r="O89" s="79">
        <f t="shared" si="18"/>
        <v>38</v>
      </c>
      <c r="P89" s="87"/>
      <c r="Q89" s="87"/>
    </row>
    <row r="90" spans="2:17" ht="33.75" customHeight="1" thickBot="1">
      <c r="B90" s="241">
        <f t="shared" si="15"/>
        <v>216.39</v>
      </c>
      <c r="C90" s="260" t="s">
        <v>156</v>
      </c>
      <c r="D90" s="261"/>
      <c r="E90" s="182"/>
      <c r="F90" s="183">
        <v>45</v>
      </c>
      <c r="G90" s="184">
        <f t="shared" si="12"/>
        <v>0.75</v>
      </c>
      <c r="H90" s="204">
        <f t="shared" si="13"/>
        <v>22.23456536186036</v>
      </c>
      <c r="I90" s="219">
        <v>0.21875</v>
      </c>
      <c r="J90" s="187">
        <v>0.2534722222222222</v>
      </c>
      <c r="K90" s="181"/>
      <c r="L90" s="58">
        <v>0.001</v>
      </c>
      <c r="N90" s="78" t="e">
        <f t="shared" si="14"/>
        <v>#REF!</v>
      </c>
      <c r="O90" s="79" t="e">
        <f>+#REF!+2</f>
        <v>#REF!</v>
      </c>
      <c r="P90" s="87"/>
      <c r="Q90" s="87">
        <v>0.21875</v>
      </c>
    </row>
    <row r="91" spans="2:16" ht="12.75">
      <c r="B91" s="232">
        <f t="shared" si="15"/>
        <v>216.39</v>
      </c>
      <c r="C91" s="233" t="s">
        <v>1</v>
      </c>
      <c r="D91" s="233" t="s">
        <v>103</v>
      </c>
      <c r="E91" s="240">
        <v>0.2</v>
      </c>
      <c r="F91" s="135">
        <f>+E91/L91*60</f>
        <v>1.2</v>
      </c>
      <c r="G91" s="139">
        <f t="shared" si="12"/>
        <v>0.02</v>
      </c>
      <c r="H91" s="206">
        <f>+H87+G91</f>
        <v>21.40456536186036</v>
      </c>
      <c r="I91" s="225" t="str">
        <f aca="true" t="shared" si="19" ref="I91:I123">TEXT(I90+(E91/(L91*24)),"h:mm")</f>
        <v>5:16</v>
      </c>
      <c r="J91" s="187">
        <v>0.25416666666666665</v>
      </c>
      <c r="K91" s="19"/>
      <c r="L91" s="58">
        <v>10</v>
      </c>
      <c r="N91" s="78"/>
      <c r="O91" s="79"/>
      <c r="P91" s="87"/>
    </row>
    <row r="92" spans="2:16" ht="25.5">
      <c r="B92" s="226">
        <f t="shared" si="15"/>
        <v>216.58999999999997</v>
      </c>
      <c r="C92" s="227" t="s">
        <v>2</v>
      </c>
      <c r="D92" s="243" t="s">
        <v>104</v>
      </c>
      <c r="E92" s="238">
        <v>0.1</v>
      </c>
      <c r="F92" s="136">
        <f>+E92/L92*60</f>
        <v>0.75</v>
      </c>
      <c r="G92" s="131">
        <f t="shared" si="12"/>
        <v>0.0125</v>
      </c>
      <c r="H92" s="200">
        <f>+H88+G92</f>
        <v>21.480398695193692</v>
      </c>
      <c r="I92" s="223" t="str">
        <f t="shared" si="19"/>
        <v>5:16</v>
      </c>
      <c r="J92" s="187">
        <v>0.2548611111111111</v>
      </c>
      <c r="K92" s="19"/>
      <c r="L92" s="58">
        <v>8</v>
      </c>
      <c r="N92" s="78"/>
      <c r="O92" s="79"/>
      <c r="P92" s="87"/>
    </row>
    <row r="93" spans="2:16" ht="12.75">
      <c r="B93" s="226">
        <f t="shared" si="15"/>
        <v>216.68999999999997</v>
      </c>
      <c r="C93" s="227" t="s">
        <v>105</v>
      </c>
      <c r="D93" s="227" t="s">
        <v>106</v>
      </c>
      <c r="E93" s="238">
        <v>0.3</v>
      </c>
      <c r="F93" s="136">
        <f>+E93/L93*60</f>
        <v>1.7999999999999998</v>
      </c>
      <c r="G93" s="131">
        <f t="shared" si="12"/>
        <v>0.029999999999999995</v>
      </c>
      <c r="H93" s="200">
        <f>+H89+G93</f>
        <v>21.51456536186036</v>
      </c>
      <c r="I93" s="223" t="str">
        <f t="shared" si="19"/>
        <v>5:17</v>
      </c>
      <c r="J93" s="187">
        <v>0.25625</v>
      </c>
      <c r="K93" s="19"/>
      <c r="L93" s="58">
        <v>10</v>
      </c>
      <c r="N93" s="78"/>
      <c r="O93" s="79"/>
      <c r="P93" s="87"/>
    </row>
    <row r="94" spans="2:16" ht="12.75">
      <c r="B94" s="226">
        <f t="shared" si="15"/>
        <v>216.98999999999998</v>
      </c>
      <c r="C94" s="227" t="s">
        <v>1</v>
      </c>
      <c r="D94" s="227" t="s">
        <v>79</v>
      </c>
      <c r="E94" s="238">
        <v>0.1</v>
      </c>
      <c r="F94" s="136">
        <f aca="true" t="shared" si="20" ref="F94:F123">+E94/L94*60</f>
        <v>1</v>
      </c>
      <c r="G94" s="131">
        <f t="shared" si="12"/>
        <v>0.016666666666666666</v>
      </c>
      <c r="H94" s="200">
        <f>+H90+G94</f>
        <v>22.251232028527024</v>
      </c>
      <c r="I94" s="223" t="str">
        <f t="shared" si="19"/>
        <v>5:18</v>
      </c>
      <c r="J94" s="187">
        <v>0.2569444444444445</v>
      </c>
      <c r="K94" s="19"/>
      <c r="L94" s="58">
        <v>6</v>
      </c>
      <c r="N94" s="78" t="e">
        <f t="shared" si="14"/>
        <v>#REF!</v>
      </c>
      <c r="O94" s="79" t="e">
        <f>+O90+2</f>
        <v>#REF!</v>
      </c>
      <c r="P94" s="87"/>
    </row>
    <row r="95" spans="2:16" ht="12.75">
      <c r="B95" s="226">
        <f>+B94+E94</f>
        <v>217.08999999999997</v>
      </c>
      <c r="C95" s="227" t="s">
        <v>1</v>
      </c>
      <c r="D95" s="227" t="s">
        <v>107</v>
      </c>
      <c r="E95" s="238">
        <v>1</v>
      </c>
      <c r="F95" s="136">
        <f t="shared" si="20"/>
        <v>7.5</v>
      </c>
      <c r="G95" s="131">
        <f t="shared" si="12"/>
        <v>0.125</v>
      </c>
      <c r="H95" s="200">
        <f t="shared" si="13"/>
        <v>22.376232028527024</v>
      </c>
      <c r="I95" s="223" t="str">
        <f t="shared" si="19"/>
        <v>5:25</v>
      </c>
      <c r="J95" s="187">
        <v>0.25972222222222224</v>
      </c>
      <c r="K95" s="19"/>
      <c r="L95" s="58">
        <v>8</v>
      </c>
      <c r="N95" s="78" t="e">
        <f t="shared" si="14"/>
        <v>#REF!</v>
      </c>
      <c r="O95" s="79" t="e">
        <f t="shared" si="18"/>
        <v>#REF!</v>
      </c>
      <c r="P95" s="87"/>
    </row>
    <row r="96" spans="2:16" ht="12.75">
      <c r="B96" s="226">
        <f>+B95+E95</f>
        <v>218.08999999999997</v>
      </c>
      <c r="C96" s="227" t="s">
        <v>16</v>
      </c>
      <c r="D96" s="227" t="s">
        <v>108</v>
      </c>
      <c r="E96" s="238">
        <v>0.4</v>
      </c>
      <c r="F96" s="136">
        <f>+E96/L96*60</f>
        <v>2.4</v>
      </c>
      <c r="G96" s="131">
        <f t="shared" si="12"/>
        <v>0.04</v>
      </c>
      <c r="H96" s="200">
        <f>+H95+G96</f>
        <v>22.416232028527023</v>
      </c>
      <c r="I96" s="223" t="str">
        <f t="shared" si="19"/>
        <v>5:27</v>
      </c>
      <c r="J96" s="187">
        <v>0.2611111111111111</v>
      </c>
      <c r="K96" s="19"/>
      <c r="L96" s="58">
        <v>10</v>
      </c>
      <c r="N96" s="78"/>
      <c r="O96" s="79"/>
      <c r="P96" s="87"/>
    </row>
    <row r="97" spans="2:16" ht="12.75">
      <c r="B97" s="226">
        <f>+B96+E96</f>
        <v>218.48999999999998</v>
      </c>
      <c r="C97" s="227" t="s">
        <v>16</v>
      </c>
      <c r="D97" s="227" t="s">
        <v>109</v>
      </c>
      <c r="E97" s="238">
        <v>1</v>
      </c>
      <c r="F97" s="136">
        <f>+E97/L97*60</f>
        <v>5</v>
      </c>
      <c r="G97" s="131">
        <f t="shared" si="12"/>
        <v>0.08333333333333333</v>
      </c>
      <c r="H97" s="200">
        <f>+H96+G97</f>
        <v>22.499565361860355</v>
      </c>
      <c r="I97" s="223" t="str">
        <f t="shared" si="19"/>
        <v>5:32</v>
      </c>
      <c r="J97" s="187">
        <v>0.2638888888888889</v>
      </c>
      <c r="K97" s="19"/>
      <c r="L97" s="58">
        <v>12</v>
      </c>
      <c r="N97" s="78"/>
      <c r="O97" s="79"/>
      <c r="P97" s="87"/>
    </row>
    <row r="98" spans="2:16" ht="12.75">
      <c r="B98" s="226">
        <f>+B97+E97</f>
        <v>219.48999999999998</v>
      </c>
      <c r="C98" s="227" t="s">
        <v>110</v>
      </c>
      <c r="D98" s="227" t="s">
        <v>82</v>
      </c>
      <c r="E98" s="238">
        <v>0.04</v>
      </c>
      <c r="F98" s="136">
        <f t="shared" si="20"/>
        <v>1.2</v>
      </c>
      <c r="G98" s="131">
        <f t="shared" si="12"/>
        <v>0.02</v>
      </c>
      <c r="H98" s="200">
        <f>+H97+G98</f>
        <v>22.519565361860355</v>
      </c>
      <c r="I98" s="223" t="str">
        <f t="shared" si="19"/>
        <v>5:33</v>
      </c>
      <c r="J98" s="187">
        <v>0.2638888888888889</v>
      </c>
      <c r="K98" s="19"/>
      <c r="L98" s="58">
        <v>2</v>
      </c>
      <c r="N98" s="78" t="e">
        <f t="shared" si="14"/>
        <v>#REF!</v>
      </c>
      <c r="O98" s="79" t="e">
        <f>+#REF!+2</f>
        <v>#REF!</v>
      </c>
      <c r="P98" s="87"/>
    </row>
    <row r="99" spans="2:17" ht="12.75">
      <c r="B99" s="226">
        <f>+B98+E98</f>
        <v>219.52999999999997</v>
      </c>
      <c r="C99" s="227" t="s">
        <v>16</v>
      </c>
      <c r="D99" s="227" t="s">
        <v>83</v>
      </c>
      <c r="E99" s="238">
        <f>4.16-2.487</f>
        <v>1.673</v>
      </c>
      <c r="F99" s="136">
        <f t="shared" si="20"/>
        <v>7.170000000000001</v>
      </c>
      <c r="G99" s="131">
        <f t="shared" si="12"/>
        <v>0.11950000000000001</v>
      </c>
      <c r="H99" s="200">
        <f>+H98+G99</f>
        <v>22.639065361860354</v>
      </c>
      <c r="I99" s="223" t="str">
        <f t="shared" si="19"/>
        <v>5:40</v>
      </c>
      <c r="J99" s="187">
        <v>0.26875</v>
      </c>
      <c r="K99" s="19"/>
      <c r="L99" s="58">
        <v>14</v>
      </c>
      <c r="N99" s="78" t="e">
        <f t="shared" si="14"/>
        <v>#REF!</v>
      </c>
      <c r="O99" s="79" t="e">
        <f t="shared" si="18"/>
        <v>#REF!</v>
      </c>
      <c r="P99" s="87"/>
      <c r="Q99" t="s">
        <v>157</v>
      </c>
    </row>
    <row r="100" spans="2:17" ht="12.75">
      <c r="B100" s="226">
        <f aca="true" t="shared" si="21" ref="B100:B124">+B99+E99</f>
        <v>221.20299999999997</v>
      </c>
      <c r="C100" s="227" t="s">
        <v>86</v>
      </c>
      <c r="D100" s="227" t="s">
        <v>85</v>
      </c>
      <c r="E100" s="238">
        <v>0.04</v>
      </c>
      <c r="F100" s="136">
        <f t="shared" si="20"/>
        <v>0.3</v>
      </c>
      <c r="G100" s="131">
        <f t="shared" si="12"/>
        <v>0.005</v>
      </c>
      <c r="H100" s="200">
        <f t="shared" si="13"/>
        <v>22.644065361860353</v>
      </c>
      <c r="I100" s="223" t="str">
        <f t="shared" si="19"/>
        <v>5:40</v>
      </c>
      <c r="J100" s="187">
        <v>0.26944444444444443</v>
      </c>
      <c r="K100" s="19"/>
      <c r="L100" s="58">
        <v>8</v>
      </c>
      <c r="N100" s="80" t="e">
        <f t="shared" si="14"/>
        <v>#REF!</v>
      </c>
      <c r="O100" s="5" t="e">
        <f t="shared" si="18"/>
        <v>#REF!</v>
      </c>
      <c r="P100" s="87"/>
      <c r="Q100" t="s">
        <v>158</v>
      </c>
    </row>
    <row r="101" spans="2:16" ht="12.75">
      <c r="B101" s="226">
        <f t="shared" si="21"/>
        <v>221.24299999999997</v>
      </c>
      <c r="C101" s="227" t="s">
        <v>84</v>
      </c>
      <c r="D101" s="227" t="s">
        <v>83</v>
      </c>
      <c r="E101" s="238">
        <f>4.868-4.185</f>
        <v>0.6830000000000007</v>
      </c>
      <c r="F101" s="136">
        <f t="shared" si="20"/>
        <v>3.1523076923076956</v>
      </c>
      <c r="G101" s="131">
        <f t="shared" si="12"/>
        <v>0.052538461538461596</v>
      </c>
      <c r="H101" s="200">
        <f t="shared" si="13"/>
        <v>22.696603823398814</v>
      </c>
      <c r="I101" s="223" t="str">
        <f t="shared" si="19"/>
        <v>5:43</v>
      </c>
      <c r="J101" s="187">
        <v>0.27152777777777776</v>
      </c>
      <c r="K101" s="19"/>
      <c r="L101" s="58">
        <v>13</v>
      </c>
      <c r="P101" s="87"/>
    </row>
    <row r="102" spans="2:16" ht="12.75">
      <c r="B102" s="226">
        <f t="shared" si="21"/>
        <v>221.92599999999996</v>
      </c>
      <c r="C102" s="227" t="s">
        <v>1</v>
      </c>
      <c r="D102" s="227" t="s">
        <v>87</v>
      </c>
      <c r="E102" s="238">
        <f>7.2235-4.868</f>
        <v>2.3554999999999993</v>
      </c>
      <c r="F102" s="136">
        <f t="shared" si="20"/>
        <v>14.132999999999996</v>
      </c>
      <c r="G102" s="131">
        <f t="shared" si="12"/>
        <v>0.23554999999999993</v>
      </c>
      <c r="H102" s="200">
        <f t="shared" si="13"/>
        <v>22.932153823398814</v>
      </c>
      <c r="I102" s="223" t="str">
        <f t="shared" si="19"/>
        <v>5:57</v>
      </c>
      <c r="J102" s="187">
        <v>0.27847222222222223</v>
      </c>
      <c r="K102" s="19"/>
      <c r="L102" s="58">
        <v>10</v>
      </c>
      <c r="P102" s="87"/>
    </row>
    <row r="103" spans="2:16" ht="12.75">
      <c r="B103" s="226">
        <f t="shared" si="21"/>
        <v>224.28149999999997</v>
      </c>
      <c r="C103" s="227" t="s">
        <v>2</v>
      </c>
      <c r="D103" s="227" t="s">
        <v>88</v>
      </c>
      <c r="E103" s="238">
        <v>0.05</v>
      </c>
      <c r="F103" s="136">
        <f t="shared" si="20"/>
        <v>0.3</v>
      </c>
      <c r="G103" s="131">
        <f t="shared" si="12"/>
        <v>0.005</v>
      </c>
      <c r="H103" s="200">
        <f t="shared" si="13"/>
        <v>22.937153823398813</v>
      </c>
      <c r="I103" s="223" t="str">
        <f t="shared" si="19"/>
        <v>5:57</v>
      </c>
      <c r="J103" s="187">
        <v>0.2791666666666667</v>
      </c>
      <c r="K103" s="19"/>
      <c r="L103" s="58">
        <v>10</v>
      </c>
      <c r="P103" s="87"/>
    </row>
    <row r="104" spans="2:16" ht="12.75">
      <c r="B104" s="226">
        <f t="shared" si="21"/>
        <v>224.33149999999998</v>
      </c>
      <c r="C104" s="227" t="s">
        <v>1</v>
      </c>
      <c r="D104" s="227" t="s">
        <v>89</v>
      </c>
      <c r="E104" s="238">
        <v>0.2</v>
      </c>
      <c r="F104" s="136">
        <f t="shared" si="20"/>
        <v>2.4</v>
      </c>
      <c r="G104" s="131">
        <f t="shared" si="12"/>
        <v>0.04</v>
      </c>
      <c r="H104" s="200">
        <f t="shared" si="13"/>
        <v>22.97715382339881</v>
      </c>
      <c r="I104" s="223" t="str">
        <f t="shared" si="19"/>
        <v>5:59</v>
      </c>
      <c r="J104" s="187">
        <v>0.2798611111111111</v>
      </c>
      <c r="K104" s="19"/>
      <c r="L104" s="58">
        <v>5</v>
      </c>
      <c r="P104" s="87"/>
    </row>
    <row r="105" spans="2:20" ht="25.5">
      <c r="B105" s="226">
        <f t="shared" si="21"/>
        <v>224.53149999999997</v>
      </c>
      <c r="C105" s="227" t="s">
        <v>2</v>
      </c>
      <c r="D105" s="243" t="s">
        <v>90</v>
      </c>
      <c r="E105" s="238">
        <f>8.55-7.47</f>
        <v>1.080000000000001</v>
      </c>
      <c r="F105" s="136">
        <f t="shared" si="20"/>
        <v>8.100000000000007</v>
      </c>
      <c r="G105" s="131">
        <f t="shared" si="12"/>
        <v>0.13500000000000012</v>
      </c>
      <c r="H105" s="200">
        <f t="shared" si="13"/>
        <v>23.112153823398813</v>
      </c>
      <c r="I105" s="223" t="str">
        <f t="shared" si="19"/>
        <v>6:07</v>
      </c>
      <c r="J105" s="187">
        <v>0.2833333333333333</v>
      </c>
      <c r="K105" s="181"/>
      <c r="L105" s="58">
        <v>8</v>
      </c>
      <c r="P105" s="87"/>
      <c r="T105" s="149" t="s">
        <v>135</v>
      </c>
    </row>
    <row r="106" spans="2:30" ht="12.75">
      <c r="B106" s="226">
        <f t="shared" si="21"/>
        <v>225.61149999999998</v>
      </c>
      <c r="C106" s="227" t="s">
        <v>1</v>
      </c>
      <c r="D106" s="227" t="s">
        <v>91</v>
      </c>
      <c r="E106" s="238">
        <f>8.956-8.556</f>
        <v>0.40000000000000036</v>
      </c>
      <c r="F106" s="136">
        <f t="shared" si="20"/>
        <v>3.0000000000000027</v>
      </c>
      <c r="G106" s="131">
        <f t="shared" si="12"/>
        <v>0.050000000000000044</v>
      </c>
      <c r="H106" s="200">
        <f t="shared" si="13"/>
        <v>23.162153823398814</v>
      </c>
      <c r="I106" s="223" t="str">
        <f t="shared" si="19"/>
        <v>6:10</v>
      </c>
      <c r="J106" s="187">
        <v>0.2847222222222222</v>
      </c>
      <c r="K106" s="181"/>
      <c r="L106" s="58">
        <v>8</v>
      </c>
      <c r="P106" s="87"/>
      <c r="T106" s="7" t="s">
        <v>133</v>
      </c>
      <c r="U106" s="8"/>
      <c r="V106" s="8"/>
      <c r="W106" s="8"/>
      <c r="X106" s="8"/>
      <c r="Y106" s="8"/>
      <c r="Z106" s="8"/>
      <c r="AA106" s="8"/>
      <c r="AB106" s="8"/>
      <c r="AC106" s="8"/>
      <c r="AD106" s="9"/>
    </row>
    <row r="107" spans="2:30" ht="12.75">
      <c r="B107" s="226">
        <f t="shared" si="21"/>
        <v>226.01149999999998</v>
      </c>
      <c r="C107" s="227" t="s">
        <v>84</v>
      </c>
      <c r="D107" s="227" t="s">
        <v>92</v>
      </c>
      <c r="E107" s="238">
        <f>10.695-8.556</f>
        <v>2.139000000000001</v>
      </c>
      <c r="F107" s="136">
        <f t="shared" si="20"/>
        <v>10.695000000000006</v>
      </c>
      <c r="G107" s="131">
        <f t="shared" si="12"/>
        <v>0.1782500000000001</v>
      </c>
      <c r="H107" s="200">
        <f t="shared" si="13"/>
        <v>23.340403823398812</v>
      </c>
      <c r="I107" s="223" t="str">
        <f t="shared" si="19"/>
        <v>6:20</v>
      </c>
      <c r="J107" s="187">
        <v>0.2916666666666667</v>
      </c>
      <c r="K107" s="181"/>
      <c r="L107" s="58">
        <v>12</v>
      </c>
      <c r="P107" s="87"/>
      <c r="T107" s="12" t="s">
        <v>134</v>
      </c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3"/>
    </row>
    <row r="108" spans="2:30" ht="15">
      <c r="B108" s="226">
        <f t="shared" si="21"/>
        <v>228.1505</v>
      </c>
      <c r="C108" s="227" t="s">
        <v>1</v>
      </c>
      <c r="D108" s="243" t="s">
        <v>93</v>
      </c>
      <c r="E108" s="238">
        <v>0.15</v>
      </c>
      <c r="F108" s="136">
        <f t="shared" si="20"/>
        <v>0.8999999999999999</v>
      </c>
      <c r="G108" s="131">
        <f t="shared" si="12"/>
        <v>0.014999999999999998</v>
      </c>
      <c r="H108" s="200">
        <f t="shared" si="13"/>
        <v>23.355403823398813</v>
      </c>
      <c r="I108" s="223" t="str">
        <f t="shared" si="19"/>
        <v>6:20</v>
      </c>
      <c r="J108" s="187">
        <v>0.2923611111111111</v>
      </c>
      <c r="K108" s="181"/>
      <c r="L108" s="58">
        <v>10</v>
      </c>
      <c r="P108" s="87"/>
      <c r="T108" s="140">
        <v>227.1</v>
      </c>
      <c r="U108" s="141" t="s">
        <v>114</v>
      </c>
      <c r="V108" s="141">
        <v>0.1</v>
      </c>
      <c r="W108" s="141" t="s">
        <v>115</v>
      </c>
      <c r="X108" s="141"/>
      <c r="Y108" s="141"/>
      <c r="Z108" s="141"/>
      <c r="AA108" s="141"/>
      <c r="AB108" s="141"/>
      <c r="AC108" s="8"/>
      <c r="AD108" s="9"/>
    </row>
    <row r="109" spans="2:30" ht="15">
      <c r="B109" s="226">
        <f t="shared" si="21"/>
        <v>228.3005</v>
      </c>
      <c r="C109" s="227" t="s">
        <v>2</v>
      </c>
      <c r="D109" s="227" t="s">
        <v>94</v>
      </c>
      <c r="E109" s="238">
        <v>0.1</v>
      </c>
      <c r="F109" s="136">
        <f t="shared" si="20"/>
        <v>0.6</v>
      </c>
      <c r="G109" s="131">
        <f t="shared" si="12"/>
        <v>0.01</v>
      </c>
      <c r="H109" s="200">
        <f t="shared" si="13"/>
        <v>23.365403823398815</v>
      </c>
      <c r="I109" s="223" t="str">
        <f t="shared" si="19"/>
        <v>6:20</v>
      </c>
      <c r="J109" s="187">
        <v>0.29305555555555557</v>
      </c>
      <c r="K109" s="181"/>
      <c r="L109" s="58">
        <v>10</v>
      </c>
      <c r="P109" s="87"/>
      <c r="T109" s="142"/>
      <c r="U109" s="143"/>
      <c r="V109" s="143"/>
      <c r="W109" s="143" t="s">
        <v>116</v>
      </c>
      <c r="X109" s="143"/>
      <c r="Y109" s="143"/>
      <c r="Z109" s="143"/>
      <c r="AA109" s="143"/>
      <c r="AB109" s="143"/>
      <c r="AC109" s="10"/>
      <c r="AD109" s="11"/>
    </row>
    <row r="110" spans="2:30" ht="15">
      <c r="B110" s="226">
        <f t="shared" si="21"/>
        <v>228.4005</v>
      </c>
      <c r="C110" s="227" t="s">
        <v>1</v>
      </c>
      <c r="D110" s="227" t="s">
        <v>95</v>
      </c>
      <c r="E110" s="238">
        <v>0.1</v>
      </c>
      <c r="F110" s="136">
        <f t="shared" si="20"/>
        <v>0.6</v>
      </c>
      <c r="G110" s="131">
        <f t="shared" si="12"/>
        <v>0.01</v>
      </c>
      <c r="H110" s="200">
        <f t="shared" si="13"/>
        <v>23.375403823398816</v>
      </c>
      <c r="I110" s="223" t="str">
        <f t="shared" si="19"/>
        <v>6:20</v>
      </c>
      <c r="J110" s="187">
        <v>0.29375</v>
      </c>
      <c r="K110" s="181"/>
      <c r="L110" s="58">
        <v>10</v>
      </c>
      <c r="P110" s="87"/>
      <c r="T110" s="142"/>
      <c r="U110" s="143"/>
      <c r="V110" s="143"/>
      <c r="W110" s="143" t="s">
        <v>117</v>
      </c>
      <c r="X110" s="143"/>
      <c r="Y110" s="143"/>
      <c r="Z110" s="143"/>
      <c r="AA110" s="143"/>
      <c r="AB110" s="143"/>
      <c r="AC110" s="10"/>
      <c r="AD110" s="11"/>
    </row>
    <row r="111" spans="2:30" ht="15">
      <c r="B111" s="226">
        <f t="shared" si="21"/>
        <v>228.5005</v>
      </c>
      <c r="C111" s="227" t="s">
        <v>2</v>
      </c>
      <c r="D111" s="227" t="s">
        <v>70</v>
      </c>
      <c r="E111" s="238">
        <v>0.2</v>
      </c>
      <c r="F111" s="136">
        <f t="shared" si="20"/>
        <v>1.7142857142857144</v>
      </c>
      <c r="G111" s="131">
        <f t="shared" si="12"/>
        <v>0.028571428571428574</v>
      </c>
      <c r="H111" s="200">
        <f>+H110+G111</f>
        <v>23.403975251970245</v>
      </c>
      <c r="I111" s="223" t="str">
        <f t="shared" si="19"/>
        <v>6:21</v>
      </c>
      <c r="J111" s="187">
        <v>0.29444444444444445</v>
      </c>
      <c r="K111" s="181"/>
      <c r="L111" s="58">
        <v>7</v>
      </c>
      <c r="P111" s="87"/>
      <c r="T111" s="142">
        <v>227.2</v>
      </c>
      <c r="U111" s="143" t="s">
        <v>114</v>
      </c>
      <c r="V111" s="143">
        <v>0.04</v>
      </c>
      <c r="W111" s="143" t="s">
        <v>118</v>
      </c>
      <c r="X111" s="143"/>
      <c r="Y111" s="143"/>
      <c r="Z111" s="143"/>
      <c r="AA111" s="143"/>
      <c r="AB111" s="143"/>
      <c r="AC111" s="10"/>
      <c r="AD111" s="11"/>
    </row>
    <row r="112" spans="2:30" ht="15">
      <c r="B112" s="226">
        <f t="shared" si="21"/>
        <v>228.70049999999998</v>
      </c>
      <c r="C112" s="227" t="s">
        <v>2</v>
      </c>
      <c r="D112" s="227" t="s">
        <v>71</v>
      </c>
      <c r="E112" s="238">
        <f>-0.327+0.361</f>
        <v>0.033999999999999975</v>
      </c>
      <c r="F112" s="136">
        <f t="shared" si="20"/>
        <v>0.20399999999999985</v>
      </c>
      <c r="G112" s="131">
        <f t="shared" si="12"/>
        <v>0.0033999999999999976</v>
      </c>
      <c r="H112" s="200">
        <f>+H111+G112</f>
        <v>23.407375251970244</v>
      </c>
      <c r="I112" s="223" t="str">
        <f t="shared" si="19"/>
        <v>6:21</v>
      </c>
      <c r="J112" s="187">
        <v>0.29583333333333334</v>
      </c>
      <c r="K112" s="181">
        <v>0.327</v>
      </c>
      <c r="L112" s="58">
        <v>10</v>
      </c>
      <c r="P112" s="87"/>
      <c r="T112" s="142"/>
      <c r="U112" s="143" t="s">
        <v>119</v>
      </c>
      <c r="V112" s="143">
        <v>0.02</v>
      </c>
      <c r="W112" s="143" t="s">
        <v>69</v>
      </c>
      <c r="X112" s="143"/>
      <c r="Y112" s="143"/>
      <c r="Z112" s="143"/>
      <c r="AA112" s="143"/>
      <c r="AB112" s="143"/>
      <c r="AC112" s="10"/>
      <c r="AD112" s="11"/>
    </row>
    <row r="113" spans="2:30" ht="15">
      <c r="B113" s="226">
        <f t="shared" si="21"/>
        <v>228.73449999999997</v>
      </c>
      <c r="C113" s="227" t="s">
        <v>1</v>
      </c>
      <c r="D113" s="227" t="s">
        <v>149</v>
      </c>
      <c r="E113" s="238">
        <f>0.3707-0.361</f>
        <v>0.009699999999999986</v>
      </c>
      <c r="F113" s="136">
        <f aca="true" t="shared" si="22" ref="F113:F119">+E113/L113*60</f>
        <v>0.05819999999999992</v>
      </c>
      <c r="G113" s="131">
        <f t="shared" si="12"/>
        <v>0.0009699999999999986</v>
      </c>
      <c r="H113" s="200">
        <f aca="true" t="shared" si="23" ref="H113:H119">+H112+G113</f>
        <v>23.408345251970243</v>
      </c>
      <c r="I113" s="223" t="str">
        <f t="shared" si="19"/>
        <v>6:21</v>
      </c>
      <c r="J113" s="187">
        <v>0.29583333333333334</v>
      </c>
      <c r="K113" s="181"/>
      <c r="L113" s="58">
        <v>10</v>
      </c>
      <c r="P113" s="87"/>
      <c r="T113" s="142"/>
      <c r="U113" s="143"/>
      <c r="V113" s="143"/>
      <c r="W113" s="143"/>
      <c r="X113" s="143"/>
      <c r="Y113" s="143"/>
      <c r="Z113" s="143"/>
      <c r="AA113" s="143"/>
      <c r="AB113" s="143"/>
      <c r="AC113" s="10"/>
      <c r="AD113" s="11"/>
    </row>
    <row r="114" spans="2:30" ht="15">
      <c r="B114" s="226">
        <f t="shared" si="21"/>
        <v>228.74419999999998</v>
      </c>
      <c r="C114" s="227" t="s">
        <v>2</v>
      </c>
      <c r="D114" s="227" t="s">
        <v>150</v>
      </c>
      <c r="E114" s="238">
        <f>0.6568-0.3703</f>
        <v>0.28650000000000003</v>
      </c>
      <c r="F114" s="136">
        <f t="shared" si="22"/>
        <v>1.719</v>
      </c>
      <c r="G114" s="131">
        <f t="shared" si="12"/>
        <v>0.028650000000000002</v>
      </c>
      <c r="H114" s="200">
        <f t="shared" si="23"/>
        <v>23.43699525197024</v>
      </c>
      <c r="I114" s="223" t="str">
        <f t="shared" si="19"/>
        <v>6:22</v>
      </c>
      <c r="J114" s="187">
        <v>0.29583333333333334</v>
      </c>
      <c r="K114" s="181"/>
      <c r="L114" s="58">
        <v>10</v>
      </c>
      <c r="P114" s="87"/>
      <c r="T114" s="142"/>
      <c r="U114" s="143"/>
      <c r="V114" s="143"/>
      <c r="W114" s="143"/>
      <c r="X114" s="143"/>
      <c r="Y114" s="143"/>
      <c r="Z114" s="143"/>
      <c r="AA114" s="143"/>
      <c r="AB114" s="143"/>
      <c r="AC114" s="10"/>
      <c r="AD114" s="11"/>
    </row>
    <row r="115" spans="2:30" ht="15">
      <c r="B115" s="226">
        <f t="shared" si="21"/>
        <v>229.03069999999997</v>
      </c>
      <c r="C115" s="227" t="s">
        <v>2</v>
      </c>
      <c r="D115" s="227" t="s">
        <v>124</v>
      </c>
      <c r="E115" s="238">
        <f>0.7405-0.6568</f>
        <v>0.0837</v>
      </c>
      <c r="F115" s="136">
        <f t="shared" si="22"/>
        <v>0.5022</v>
      </c>
      <c r="G115" s="131">
        <f t="shared" si="12"/>
        <v>0.008369999999999999</v>
      </c>
      <c r="H115" s="200">
        <f t="shared" si="23"/>
        <v>23.44536525197024</v>
      </c>
      <c r="I115" s="223" t="str">
        <f t="shared" si="19"/>
        <v>6:22</v>
      </c>
      <c r="J115" s="187">
        <v>0.29583333333333334</v>
      </c>
      <c r="K115" s="181"/>
      <c r="L115" s="58">
        <v>10</v>
      </c>
      <c r="P115" s="87"/>
      <c r="T115" s="142"/>
      <c r="U115" s="143"/>
      <c r="V115" s="143"/>
      <c r="W115" s="143"/>
      <c r="X115" s="143"/>
      <c r="Y115" s="143"/>
      <c r="Z115" s="143"/>
      <c r="AA115" s="143"/>
      <c r="AB115" s="143"/>
      <c r="AC115" s="10"/>
      <c r="AD115" s="11"/>
    </row>
    <row r="116" spans="2:30" ht="15">
      <c r="B116" s="226">
        <f t="shared" si="21"/>
        <v>229.11439999999996</v>
      </c>
      <c r="C116" s="227" t="s">
        <v>2</v>
      </c>
      <c r="D116" s="227" t="s">
        <v>96</v>
      </c>
      <c r="E116" s="238">
        <f>-0.7405+0.8002</f>
        <v>0.059699999999999975</v>
      </c>
      <c r="F116" s="136">
        <f t="shared" si="22"/>
        <v>0.35819999999999985</v>
      </c>
      <c r="G116" s="131">
        <f t="shared" si="12"/>
        <v>0.005969999999999998</v>
      </c>
      <c r="H116" s="200">
        <f t="shared" si="23"/>
        <v>23.451335251970242</v>
      </c>
      <c r="I116" s="223" t="str">
        <f t="shared" si="19"/>
        <v>6:22</v>
      </c>
      <c r="J116" s="187">
        <v>0.29583333333333334</v>
      </c>
      <c r="K116" s="181"/>
      <c r="L116" s="58">
        <v>10</v>
      </c>
      <c r="P116" s="87"/>
      <c r="T116" s="142"/>
      <c r="U116" s="143"/>
      <c r="V116" s="143"/>
      <c r="W116" s="143"/>
      <c r="X116" s="143"/>
      <c r="Y116" s="143"/>
      <c r="Z116" s="143"/>
      <c r="AA116" s="143"/>
      <c r="AB116" s="143"/>
      <c r="AC116" s="10"/>
      <c r="AD116" s="11"/>
    </row>
    <row r="117" spans="2:30" ht="15">
      <c r="B117" s="226">
        <f t="shared" si="21"/>
        <v>229.17409999999995</v>
      </c>
      <c r="C117" s="227" t="s">
        <v>1</v>
      </c>
      <c r="D117" s="227" t="s">
        <v>151</v>
      </c>
      <c r="E117" s="238">
        <f>-0.8002+0.9108</f>
        <v>0.11060000000000003</v>
      </c>
      <c r="F117" s="136">
        <f t="shared" si="22"/>
        <v>0.6636000000000002</v>
      </c>
      <c r="G117" s="131">
        <f t="shared" si="12"/>
        <v>0.011060000000000004</v>
      </c>
      <c r="H117" s="200">
        <f t="shared" si="23"/>
        <v>23.462395251970243</v>
      </c>
      <c r="I117" s="223" t="str">
        <f t="shared" si="19"/>
        <v>6:22</v>
      </c>
      <c r="J117" s="187">
        <v>0.29583333333333334</v>
      </c>
      <c r="K117" s="181"/>
      <c r="L117" s="58">
        <v>10</v>
      </c>
      <c r="P117" s="87"/>
      <c r="T117" s="142"/>
      <c r="U117" s="143"/>
      <c r="V117" s="143"/>
      <c r="W117" s="143"/>
      <c r="X117" s="143"/>
      <c r="Y117" s="143"/>
      <c r="Z117" s="143"/>
      <c r="AA117" s="143"/>
      <c r="AB117" s="143"/>
      <c r="AC117" s="10"/>
      <c r="AD117" s="11"/>
    </row>
    <row r="118" spans="2:30" ht="15">
      <c r="B118" s="226">
        <f t="shared" si="21"/>
        <v>229.28469999999996</v>
      </c>
      <c r="C118" s="227" t="s">
        <v>16</v>
      </c>
      <c r="D118" s="227" t="s">
        <v>97</v>
      </c>
      <c r="E118" s="238">
        <f>-0.9108+2.188</f>
        <v>1.2772000000000001</v>
      </c>
      <c r="F118" s="136">
        <f t="shared" si="22"/>
        <v>5.473714285714286</v>
      </c>
      <c r="G118" s="131">
        <f t="shared" si="12"/>
        <v>0.09122857142857144</v>
      </c>
      <c r="H118" s="200">
        <f t="shared" si="23"/>
        <v>23.553623823398816</v>
      </c>
      <c r="I118" s="223" t="str">
        <f t="shared" si="19"/>
        <v>6:27</v>
      </c>
      <c r="J118" s="187">
        <v>0.29583333333333334</v>
      </c>
      <c r="K118" s="181"/>
      <c r="L118" s="58">
        <v>14</v>
      </c>
      <c r="P118" s="87"/>
      <c r="T118" s="142"/>
      <c r="U118" s="143"/>
      <c r="V118" s="143"/>
      <c r="W118" s="143"/>
      <c r="X118" s="143"/>
      <c r="Y118" s="143"/>
      <c r="Z118" s="143"/>
      <c r="AA118" s="143"/>
      <c r="AB118" s="143"/>
      <c r="AC118" s="10"/>
      <c r="AD118" s="11"/>
    </row>
    <row r="119" spans="2:30" ht="15">
      <c r="B119" s="96">
        <f t="shared" si="21"/>
        <v>230.56189999999995</v>
      </c>
      <c r="C119" s="59" t="s">
        <v>2</v>
      </c>
      <c r="D119" s="59" t="s">
        <v>152</v>
      </c>
      <c r="E119" s="61">
        <f>2.547-2.188</f>
        <v>0.359</v>
      </c>
      <c r="F119" s="88">
        <f t="shared" si="22"/>
        <v>1.656923076923077</v>
      </c>
      <c r="G119" s="62">
        <f t="shared" si="12"/>
        <v>0.027615384615384615</v>
      </c>
      <c r="H119" s="207">
        <f t="shared" si="23"/>
        <v>23.5812392080142</v>
      </c>
      <c r="I119" s="213" t="str">
        <f t="shared" si="19"/>
        <v>6:28</v>
      </c>
      <c r="J119" s="187">
        <v>0.29583333333333334</v>
      </c>
      <c r="K119" s="181"/>
      <c r="L119" s="58">
        <v>13</v>
      </c>
      <c r="P119" s="87"/>
      <c r="T119" s="142"/>
      <c r="U119" s="143"/>
      <c r="V119" s="143"/>
      <c r="W119" s="143"/>
      <c r="X119" s="143"/>
      <c r="Y119" s="143"/>
      <c r="Z119" s="143"/>
      <c r="AA119" s="143"/>
      <c r="AB119" s="143"/>
      <c r="AC119" s="10"/>
      <c r="AD119" s="11"/>
    </row>
    <row r="120" spans="2:30" ht="15">
      <c r="B120" s="96">
        <f t="shared" si="21"/>
        <v>230.92089999999996</v>
      </c>
      <c r="C120" s="59" t="s">
        <v>1</v>
      </c>
      <c r="D120" s="59" t="s">
        <v>152</v>
      </c>
      <c r="E120" s="61">
        <f>-2.547+3.605</f>
        <v>1.0579999999999998</v>
      </c>
      <c r="F120" s="88">
        <f>+E120/L120*60</f>
        <v>6.347999999999999</v>
      </c>
      <c r="G120" s="62">
        <f t="shared" si="12"/>
        <v>0.10579999999999998</v>
      </c>
      <c r="H120" s="207">
        <f>+H119+G120</f>
        <v>23.6870392080142</v>
      </c>
      <c r="I120" s="213" t="str">
        <f t="shared" si="19"/>
        <v>6:34</v>
      </c>
      <c r="J120" s="187">
        <v>0.29583333333333334</v>
      </c>
      <c r="K120" s="181"/>
      <c r="L120" s="58">
        <v>10</v>
      </c>
      <c r="P120" s="87"/>
      <c r="T120" s="142"/>
      <c r="U120" s="143"/>
      <c r="V120" s="143"/>
      <c r="W120" s="143"/>
      <c r="X120" s="143"/>
      <c r="Y120" s="143"/>
      <c r="Z120" s="143"/>
      <c r="AA120" s="143"/>
      <c r="AB120" s="143"/>
      <c r="AC120" s="10"/>
      <c r="AD120" s="11"/>
    </row>
    <row r="121" spans="2:30" ht="15">
      <c r="B121" s="96">
        <f t="shared" si="21"/>
        <v>231.97889999999995</v>
      </c>
      <c r="C121" s="59" t="s">
        <v>1</v>
      </c>
      <c r="D121" s="59" t="s">
        <v>154</v>
      </c>
      <c r="E121" s="61">
        <f>3.8109-3.605</f>
        <v>0.2059000000000002</v>
      </c>
      <c r="F121" s="88">
        <f>+E121/L121*60</f>
        <v>1.5442500000000015</v>
      </c>
      <c r="G121" s="62">
        <f t="shared" si="12"/>
        <v>0.025737500000000024</v>
      </c>
      <c r="H121" s="207">
        <f>+H120+G121</f>
        <v>23.7127767080142</v>
      </c>
      <c r="I121" s="213" t="str">
        <f t="shared" si="19"/>
        <v>6:35</v>
      </c>
      <c r="J121" s="187">
        <v>0.29583333333333334</v>
      </c>
      <c r="K121" s="181"/>
      <c r="L121" s="58">
        <v>8</v>
      </c>
      <c r="P121" s="87"/>
      <c r="T121" s="142"/>
      <c r="U121" s="143"/>
      <c r="V121" s="143"/>
      <c r="W121" s="143"/>
      <c r="X121" s="143"/>
      <c r="Y121" s="143"/>
      <c r="Z121" s="143"/>
      <c r="AA121" s="143"/>
      <c r="AB121" s="143"/>
      <c r="AC121" s="10"/>
      <c r="AD121" s="11"/>
    </row>
    <row r="122" spans="2:30" ht="15">
      <c r="B122" s="96">
        <f t="shared" si="21"/>
        <v>232.18479999999997</v>
      </c>
      <c r="C122" s="59" t="s">
        <v>2</v>
      </c>
      <c r="D122" s="59" t="s">
        <v>153</v>
      </c>
      <c r="E122" s="61">
        <f>4.467-3.8109</f>
        <v>0.6560999999999995</v>
      </c>
      <c r="F122" s="88">
        <f t="shared" si="20"/>
        <v>3.2804999999999973</v>
      </c>
      <c r="G122" s="62">
        <f t="shared" si="12"/>
        <v>0.05467499999999995</v>
      </c>
      <c r="H122" s="207">
        <f>+H112+G122</f>
        <v>23.462050251970243</v>
      </c>
      <c r="I122" s="213" t="str">
        <f t="shared" si="19"/>
        <v>6:38</v>
      </c>
      <c r="J122" s="187">
        <v>0.2965277777777778</v>
      </c>
      <c r="K122" s="181"/>
      <c r="L122" s="58">
        <v>12</v>
      </c>
      <c r="P122" s="87"/>
      <c r="T122" s="142"/>
      <c r="U122" s="143" t="s">
        <v>114</v>
      </c>
      <c r="V122" s="143">
        <v>0.2</v>
      </c>
      <c r="W122" s="143" t="s">
        <v>120</v>
      </c>
      <c r="X122" s="143"/>
      <c r="Y122" s="143"/>
      <c r="Z122" s="143"/>
      <c r="AA122" s="143"/>
      <c r="AB122" s="143"/>
      <c r="AC122" s="10"/>
      <c r="AD122" s="11"/>
    </row>
    <row r="123" spans="2:30" ht="15">
      <c r="B123" s="96">
        <f t="shared" si="21"/>
        <v>232.84089999999998</v>
      </c>
      <c r="C123" s="59" t="s">
        <v>1</v>
      </c>
      <c r="D123" s="63" t="s">
        <v>155</v>
      </c>
      <c r="E123" s="61">
        <f>-4.467+4.628</f>
        <v>0.16100000000000048</v>
      </c>
      <c r="F123" s="88">
        <f t="shared" si="20"/>
        <v>0.9660000000000029</v>
      </c>
      <c r="G123" s="62">
        <f t="shared" si="12"/>
        <v>0.01610000000000005</v>
      </c>
      <c r="H123" s="207">
        <f>+H122+G123</f>
        <v>23.478150251970245</v>
      </c>
      <c r="I123" s="213" t="str">
        <f t="shared" si="19"/>
        <v>6:38</v>
      </c>
      <c r="J123" s="187">
        <v>0.29791666666666666</v>
      </c>
      <c r="K123" s="181"/>
      <c r="L123" s="58">
        <v>10</v>
      </c>
      <c r="P123" s="87"/>
      <c r="T123" s="142">
        <v>227.5</v>
      </c>
      <c r="U123" s="143" t="s">
        <v>51</v>
      </c>
      <c r="V123" s="143" t="s">
        <v>121</v>
      </c>
      <c r="W123" s="143" t="s">
        <v>122</v>
      </c>
      <c r="X123" s="143"/>
      <c r="Y123" s="143"/>
      <c r="Z123" s="143"/>
      <c r="AA123" s="143"/>
      <c r="AB123" s="143" t="s">
        <v>123</v>
      </c>
      <c r="AC123" s="10"/>
      <c r="AD123" s="11"/>
    </row>
    <row r="124" spans="2:30" ht="24">
      <c r="B124" s="96">
        <f t="shared" si="21"/>
        <v>233.00189999999998</v>
      </c>
      <c r="C124" s="59" t="s">
        <v>2</v>
      </c>
      <c r="D124" s="99" t="s">
        <v>148</v>
      </c>
      <c r="E124" s="61"/>
      <c r="F124" s="64"/>
      <c r="G124" s="62"/>
      <c r="H124" s="207"/>
      <c r="I124" s="214"/>
      <c r="J124" s="179"/>
      <c r="K124" s="19"/>
      <c r="L124" s="58"/>
      <c r="M124" s="186"/>
      <c r="P124" s="87"/>
      <c r="T124" s="142">
        <v>231.55</v>
      </c>
      <c r="U124" s="143" t="s">
        <v>119</v>
      </c>
      <c r="V124" s="143">
        <v>0.15</v>
      </c>
      <c r="W124" s="143" t="s">
        <v>125</v>
      </c>
      <c r="X124" s="143"/>
      <c r="Y124" s="143"/>
      <c r="Z124" s="143"/>
      <c r="AA124" s="143"/>
      <c r="AB124" s="143"/>
      <c r="AC124" s="10"/>
      <c r="AD124" s="11"/>
    </row>
    <row r="125" spans="2:30" ht="15">
      <c r="B125" s="96"/>
      <c r="C125" s="59"/>
      <c r="D125" s="60"/>
      <c r="E125" s="242">
        <f>+B124-B90</f>
        <v>16.61189999999999</v>
      </c>
      <c r="F125" s="64"/>
      <c r="G125" s="62"/>
      <c r="H125" s="207"/>
      <c r="I125" s="215"/>
      <c r="J125" s="179"/>
      <c r="K125" s="19"/>
      <c r="L125" s="58"/>
      <c r="M125" s="186"/>
      <c r="T125" s="142">
        <v>231.7</v>
      </c>
      <c r="U125" s="143" t="s">
        <v>114</v>
      </c>
      <c r="V125" s="143">
        <v>0.2</v>
      </c>
      <c r="W125" s="143" t="s">
        <v>126</v>
      </c>
      <c r="X125" s="143" t="s">
        <v>127</v>
      </c>
      <c r="Y125" s="143"/>
      <c r="Z125" s="143"/>
      <c r="AA125" s="143"/>
      <c r="AB125" s="143"/>
      <c r="AC125" s="10"/>
      <c r="AD125" s="11"/>
    </row>
    <row r="126" spans="2:30" ht="15">
      <c r="B126" s="96"/>
      <c r="C126" s="59"/>
      <c r="D126" s="60" t="s">
        <v>98</v>
      </c>
      <c r="E126" s="242">
        <f>SUM(E90:E123)</f>
        <v>16.611900000000006</v>
      </c>
      <c r="F126" s="64" t="s">
        <v>111</v>
      </c>
      <c r="G126" s="62"/>
      <c r="H126" s="207"/>
      <c r="I126" s="215"/>
      <c r="J126" s="179"/>
      <c r="K126" s="19"/>
      <c r="L126" s="58"/>
      <c r="M126" s="186"/>
      <c r="T126" s="142">
        <v>231.9</v>
      </c>
      <c r="U126" s="143" t="s">
        <v>128</v>
      </c>
      <c r="V126" s="143" t="s">
        <v>129</v>
      </c>
      <c r="W126" s="144" t="s">
        <v>130</v>
      </c>
      <c r="X126" s="143"/>
      <c r="Y126" s="143"/>
      <c r="Z126" s="143"/>
      <c r="AA126" s="143"/>
      <c r="AB126" s="143" t="s">
        <v>131</v>
      </c>
      <c r="AC126" s="10"/>
      <c r="AD126" s="11"/>
    </row>
    <row r="127" spans="2:30" ht="15.75" thickBot="1">
      <c r="B127" s="65"/>
      <c r="C127" s="66"/>
      <c r="D127" s="67"/>
      <c r="E127" s="68"/>
      <c r="F127" s="69"/>
      <c r="G127" s="70"/>
      <c r="H127" s="208"/>
      <c r="I127" s="216"/>
      <c r="J127" s="180"/>
      <c r="K127" s="19"/>
      <c r="L127" s="58"/>
      <c r="M127" s="186"/>
      <c r="T127" s="145"/>
      <c r="U127" s="146"/>
      <c r="V127" s="146"/>
      <c r="W127" s="146"/>
      <c r="X127" s="147">
        <v>0.3333333333333333</v>
      </c>
      <c r="Y127" s="146" t="s">
        <v>132</v>
      </c>
      <c r="Z127" s="146"/>
      <c r="AA127" s="146"/>
      <c r="AB127" s="146"/>
      <c r="AC127" s="148"/>
      <c r="AD127" s="13"/>
    </row>
    <row r="128" spans="1:12" ht="12">
      <c r="A128" s="10"/>
      <c r="B128" s="50"/>
      <c r="C128" s="51"/>
      <c r="D128" s="52"/>
      <c r="E128" s="53"/>
      <c r="F128" s="54"/>
      <c r="G128" s="55"/>
      <c r="H128" s="56"/>
      <c r="I128" s="56"/>
      <c r="J128" s="57"/>
      <c r="K128" s="19"/>
      <c r="L128" s="6"/>
    </row>
    <row r="129" spans="1:12" ht="12">
      <c r="A129" s="10"/>
      <c r="B129" s="42"/>
      <c r="C129" s="10"/>
      <c r="D129" s="10"/>
      <c r="E129" s="43"/>
      <c r="F129" s="44"/>
      <c r="G129" s="45"/>
      <c r="H129" s="46"/>
      <c r="I129" s="46"/>
      <c r="J129" s="47"/>
      <c r="K129" s="19"/>
      <c r="L129" s="6"/>
    </row>
    <row r="130" spans="1:12" ht="12">
      <c r="A130" s="10"/>
      <c r="B130" s="42"/>
      <c r="C130" s="10"/>
      <c r="D130" s="10"/>
      <c r="E130" s="43"/>
      <c r="F130" s="44"/>
      <c r="G130" s="45"/>
      <c r="H130" s="46"/>
      <c r="I130" s="46"/>
      <c r="J130" s="47"/>
      <c r="K130" s="19"/>
      <c r="L130" s="6"/>
    </row>
    <row r="131" spans="1:13" ht="16.5">
      <c r="A131" s="10"/>
      <c r="B131" s="10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">
      <c r="A132" s="10"/>
      <c r="B132" s="10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7"/>
    </row>
    <row r="133" spans="1:13" ht="15">
      <c r="A133" s="10"/>
      <c r="B133" s="101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7"/>
    </row>
    <row r="134" spans="1:13" ht="12">
      <c r="A134" s="10"/>
      <c r="B134" s="10"/>
      <c r="C134" s="10"/>
      <c r="D134" s="10"/>
      <c r="E134" s="10"/>
      <c r="F134" s="17"/>
      <c r="G134" s="17"/>
      <c r="H134" s="17"/>
      <c r="I134" s="17"/>
      <c r="J134" s="102"/>
      <c r="K134" s="17"/>
      <c r="L134" s="17"/>
      <c r="M134" s="10"/>
    </row>
    <row r="135" spans="1:13" ht="12">
      <c r="A135" s="10"/>
      <c r="B135" s="103"/>
      <c r="C135" s="49"/>
      <c r="D135" s="49"/>
      <c r="E135" s="103"/>
      <c r="F135" s="17"/>
      <c r="G135" s="17"/>
      <c r="H135" s="17"/>
      <c r="I135" s="17"/>
      <c r="J135" s="102"/>
      <c r="K135" s="17"/>
      <c r="L135" s="15"/>
      <c r="M135" s="10"/>
    </row>
    <row r="136" spans="2:27" ht="72.75">
      <c r="B136" s="104"/>
      <c r="C136" s="105"/>
      <c r="D136" s="105"/>
      <c r="E136" s="104"/>
      <c r="F136" s="106"/>
      <c r="G136" s="106"/>
      <c r="H136" s="106"/>
      <c r="I136" s="106"/>
      <c r="J136" s="107"/>
      <c r="K136" s="17"/>
      <c r="L136" s="108"/>
      <c r="M136" s="10"/>
      <c r="AA136" s="150" t="s">
        <v>138</v>
      </c>
    </row>
    <row r="137" spans="2:13" ht="15">
      <c r="B137" s="109"/>
      <c r="C137" s="101"/>
      <c r="D137" s="101"/>
      <c r="E137" s="110"/>
      <c r="F137" s="111"/>
      <c r="G137" s="112"/>
      <c r="H137" s="113"/>
      <c r="I137" s="113"/>
      <c r="J137" s="114"/>
      <c r="K137" s="18"/>
      <c r="L137" s="108"/>
      <c r="M137" s="10"/>
    </row>
    <row r="138" spans="2:13" ht="15">
      <c r="B138" s="109"/>
      <c r="C138" s="101"/>
      <c r="D138" s="101"/>
      <c r="E138" s="110"/>
      <c r="F138" s="111"/>
      <c r="G138" s="112"/>
      <c r="H138" s="113"/>
      <c r="I138" s="113"/>
      <c r="J138" s="114"/>
      <c r="K138" s="18"/>
      <c r="L138" s="108"/>
      <c r="M138" s="46"/>
    </row>
    <row r="139" spans="2:13" ht="15">
      <c r="B139" s="109"/>
      <c r="C139" s="101"/>
      <c r="D139" s="101"/>
      <c r="E139" s="110"/>
      <c r="F139" s="111"/>
      <c r="G139" s="112"/>
      <c r="H139" s="113"/>
      <c r="I139" s="113"/>
      <c r="J139" s="114"/>
      <c r="K139" s="18"/>
      <c r="L139" s="108"/>
      <c r="M139" s="46"/>
    </row>
    <row r="140" spans="2:13" ht="15">
      <c r="B140" s="109"/>
      <c r="C140" s="101"/>
      <c r="D140" s="101"/>
      <c r="E140" s="110"/>
      <c r="F140" s="111"/>
      <c r="G140" s="112"/>
      <c r="H140" s="113"/>
      <c r="I140" s="113"/>
      <c r="J140" s="114"/>
      <c r="K140" s="18"/>
      <c r="L140" s="108"/>
      <c r="M140" s="46"/>
    </row>
    <row r="141" spans="2:13" ht="15">
      <c r="B141" s="109"/>
      <c r="C141" s="101"/>
      <c r="D141" s="101"/>
      <c r="E141" s="110"/>
      <c r="F141" s="111"/>
      <c r="G141" s="112"/>
      <c r="H141" s="113"/>
      <c r="I141" s="113"/>
      <c r="J141" s="114"/>
      <c r="K141" s="18"/>
      <c r="L141" s="108"/>
      <c r="M141" s="46"/>
    </row>
    <row r="142" spans="2:13" ht="15">
      <c r="B142" s="109"/>
      <c r="C142" s="101"/>
      <c r="D142" s="101"/>
      <c r="E142" s="110"/>
      <c r="F142" s="111"/>
      <c r="G142" s="112"/>
      <c r="H142" s="113"/>
      <c r="I142" s="113"/>
      <c r="J142" s="114"/>
      <c r="K142" s="18"/>
      <c r="L142" s="108"/>
      <c r="M142" s="46"/>
    </row>
    <row r="143" spans="2:13" ht="15">
      <c r="B143" s="109"/>
      <c r="C143" s="101"/>
      <c r="D143" s="101"/>
      <c r="E143" s="110"/>
      <c r="F143" s="111"/>
      <c r="G143" s="112"/>
      <c r="H143" s="113"/>
      <c r="I143" s="113"/>
      <c r="J143" s="114"/>
      <c r="K143" s="18"/>
      <c r="L143" s="108"/>
      <c r="M143" s="46"/>
    </row>
    <row r="144" spans="2:13" ht="15">
      <c r="B144" s="109"/>
      <c r="C144" s="101"/>
      <c r="D144" s="101"/>
      <c r="E144" s="110"/>
      <c r="F144" s="111"/>
      <c r="G144" s="112"/>
      <c r="H144" s="113"/>
      <c r="I144" s="113"/>
      <c r="J144" s="114"/>
      <c r="K144" s="18"/>
      <c r="L144" s="108"/>
      <c r="M144" s="46"/>
    </row>
    <row r="145" spans="2:13" ht="15">
      <c r="B145" s="109"/>
      <c r="C145" s="250"/>
      <c r="D145" s="251"/>
      <c r="E145" s="251"/>
      <c r="F145" s="115"/>
      <c r="G145" s="112"/>
      <c r="H145" s="113"/>
      <c r="I145" s="113"/>
      <c r="J145" s="114"/>
      <c r="K145" s="18"/>
      <c r="L145" s="108"/>
      <c r="M145" s="46"/>
    </row>
    <row r="146" spans="2:13" ht="15">
      <c r="B146" s="109"/>
      <c r="C146" s="101"/>
      <c r="D146" s="101"/>
      <c r="E146" s="110"/>
      <c r="F146" s="111"/>
      <c r="G146" s="112"/>
      <c r="H146" s="113"/>
      <c r="I146" s="113"/>
      <c r="J146" s="114"/>
      <c r="K146" s="18"/>
      <c r="L146" s="108"/>
      <c r="M146" s="46"/>
    </row>
    <row r="147" spans="2:13" ht="15">
      <c r="B147" s="109"/>
      <c r="C147" s="101"/>
      <c r="D147" s="101"/>
      <c r="E147" s="110"/>
      <c r="F147" s="111"/>
      <c r="G147" s="112"/>
      <c r="H147" s="113"/>
      <c r="I147" s="113"/>
      <c r="J147" s="114"/>
      <c r="K147" s="18"/>
      <c r="L147" s="108"/>
      <c r="M147" s="46"/>
    </row>
    <row r="148" spans="2:13" ht="15">
      <c r="B148" s="109"/>
      <c r="C148" s="101"/>
      <c r="D148" s="101"/>
      <c r="E148" s="110"/>
      <c r="F148" s="111"/>
      <c r="G148" s="112"/>
      <c r="H148" s="113"/>
      <c r="I148" s="113"/>
      <c r="J148" s="114"/>
      <c r="K148" s="18"/>
      <c r="L148" s="108"/>
      <c r="M148" s="46"/>
    </row>
    <row r="149" spans="2:13" ht="15">
      <c r="B149" s="109"/>
      <c r="C149" s="101"/>
      <c r="D149" s="101"/>
      <c r="E149" s="110"/>
      <c r="F149" s="111"/>
      <c r="G149" s="112"/>
      <c r="H149" s="113"/>
      <c r="I149" s="113"/>
      <c r="J149" s="114"/>
      <c r="K149" s="18"/>
      <c r="L149" s="108"/>
      <c r="M149" s="46"/>
    </row>
    <row r="150" spans="2:13" ht="15">
      <c r="B150" s="109"/>
      <c r="C150" s="101"/>
      <c r="D150" s="101"/>
      <c r="E150" s="110"/>
      <c r="F150" s="111"/>
      <c r="G150" s="112"/>
      <c r="H150" s="113"/>
      <c r="I150" s="113"/>
      <c r="J150" s="114"/>
      <c r="K150" s="18"/>
      <c r="L150" s="108"/>
      <c r="M150" s="46"/>
    </row>
    <row r="151" spans="2:13" ht="15">
      <c r="B151" s="109"/>
      <c r="C151" s="101"/>
      <c r="D151" s="101"/>
      <c r="E151" s="110"/>
      <c r="F151" s="111"/>
      <c r="G151" s="112"/>
      <c r="H151" s="113"/>
      <c r="I151" s="113"/>
      <c r="J151" s="114"/>
      <c r="K151" s="18"/>
      <c r="L151" s="108"/>
      <c r="M151" s="46"/>
    </row>
    <row r="152" spans="2:13" ht="15">
      <c r="B152" s="109"/>
      <c r="C152" s="101"/>
      <c r="D152" s="101"/>
      <c r="E152" s="110"/>
      <c r="F152" s="111"/>
      <c r="G152" s="112"/>
      <c r="H152" s="113"/>
      <c r="I152" s="113"/>
      <c r="J152" s="114"/>
      <c r="K152" s="18"/>
      <c r="L152" s="108"/>
      <c r="M152" s="46"/>
    </row>
    <row r="153" spans="2:13" ht="15">
      <c r="B153" s="109"/>
      <c r="C153" s="101"/>
      <c r="D153" s="101"/>
      <c r="E153" s="110"/>
      <c r="F153" s="111"/>
      <c r="G153" s="112"/>
      <c r="H153" s="113"/>
      <c r="I153" s="113"/>
      <c r="J153" s="114"/>
      <c r="K153" s="18"/>
      <c r="L153" s="108"/>
      <c r="M153" s="46"/>
    </row>
    <row r="154" spans="2:13" ht="15">
      <c r="B154" s="109"/>
      <c r="C154" s="101"/>
      <c r="D154" s="101"/>
      <c r="E154" s="110"/>
      <c r="F154" s="111"/>
      <c r="G154" s="112"/>
      <c r="H154" s="113"/>
      <c r="I154" s="113"/>
      <c r="J154" s="114"/>
      <c r="K154" s="18"/>
      <c r="L154" s="108"/>
      <c r="M154" s="46"/>
    </row>
    <row r="155" spans="2:13" ht="15">
      <c r="B155" s="109"/>
      <c r="C155" s="101"/>
      <c r="D155" s="101"/>
      <c r="E155" s="110"/>
      <c r="F155" s="111"/>
      <c r="G155" s="112"/>
      <c r="H155" s="113"/>
      <c r="I155" s="113"/>
      <c r="J155" s="114"/>
      <c r="K155" s="18"/>
      <c r="L155" s="108"/>
      <c r="M155" s="46"/>
    </row>
    <row r="156" spans="2:13" ht="15">
      <c r="B156" s="109"/>
      <c r="C156" s="101"/>
      <c r="D156" s="101"/>
      <c r="E156" s="110"/>
      <c r="F156" s="111"/>
      <c r="G156" s="112"/>
      <c r="H156" s="113"/>
      <c r="I156" s="113"/>
      <c r="J156" s="114"/>
      <c r="K156" s="18"/>
      <c r="L156" s="108"/>
      <c r="M156" s="46"/>
    </row>
    <row r="157" spans="2:13" ht="15">
      <c r="B157" s="109"/>
      <c r="C157" s="101"/>
      <c r="D157" s="101"/>
      <c r="E157" s="110"/>
      <c r="F157" s="111"/>
      <c r="G157" s="112"/>
      <c r="H157" s="113"/>
      <c r="I157" s="113"/>
      <c r="J157" s="114"/>
      <c r="K157" s="18"/>
      <c r="L157" s="108"/>
      <c r="M157" s="46"/>
    </row>
    <row r="158" spans="2:13" ht="15">
      <c r="B158" s="109"/>
      <c r="C158" s="101"/>
      <c r="D158" s="101"/>
      <c r="E158" s="110"/>
      <c r="F158" s="111"/>
      <c r="G158" s="112"/>
      <c r="H158" s="113"/>
      <c r="I158" s="113"/>
      <c r="J158" s="114"/>
      <c r="K158" s="18"/>
      <c r="L158" s="108"/>
      <c r="M158" s="46"/>
    </row>
    <row r="159" spans="2:13" ht="15">
      <c r="B159" s="109"/>
      <c r="C159" s="101"/>
      <c r="D159" s="101"/>
      <c r="E159" s="110"/>
      <c r="F159" s="111"/>
      <c r="G159" s="112"/>
      <c r="H159" s="113"/>
      <c r="I159" s="113"/>
      <c r="J159" s="114"/>
      <c r="K159" s="18"/>
      <c r="L159" s="108"/>
      <c r="M159" s="46"/>
    </row>
    <row r="160" spans="2:13" ht="15">
      <c r="B160" s="109"/>
      <c r="C160" s="101"/>
      <c r="D160" s="101"/>
      <c r="E160" s="110"/>
      <c r="F160" s="111"/>
      <c r="G160" s="112"/>
      <c r="H160" s="113"/>
      <c r="I160" s="113"/>
      <c r="J160" s="116"/>
      <c r="K160" s="18"/>
      <c r="L160" s="108"/>
      <c r="M160" s="46"/>
    </row>
    <row r="161" spans="2:13" ht="31.5" customHeight="1">
      <c r="B161" s="109"/>
      <c r="C161" s="250"/>
      <c r="D161" s="251"/>
      <c r="E161" s="251"/>
      <c r="F161" s="115"/>
      <c r="G161" s="112"/>
      <c r="H161" s="113"/>
      <c r="I161" s="113"/>
      <c r="J161" s="116"/>
      <c r="K161" s="18"/>
      <c r="L161" s="108"/>
      <c r="M161" s="46"/>
    </row>
    <row r="162" spans="2:13" ht="15">
      <c r="B162" s="109"/>
      <c r="C162" s="101"/>
      <c r="D162" s="101"/>
      <c r="E162" s="110"/>
      <c r="F162" s="111"/>
      <c r="G162" s="112"/>
      <c r="H162" s="113"/>
      <c r="I162" s="113"/>
      <c r="J162" s="116"/>
      <c r="K162" s="18"/>
      <c r="L162" s="108"/>
      <c r="M162" s="46"/>
    </row>
    <row r="163" spans="2:13" ht="15">
      <c r="B163" s="109"/>
      <c r="C163" s="101"/>
      <c r="D163" s="101"/>
      <c r="E163" s="110"/>
      <c r="F163" s="111"/>
      <c r="G163" s="112"/>
      <c r="H163" s="113"/>
      <c r="I163" s="113"/>
      <c r="J163" s="116"/>
      <c r="K163" s="18"/>
      <c r="L163" s="108"/>
      <c r="M163" s="46"/>
    </row>
    <row r="164" spans="2:13" ht="15">
      <c r="B164" s="109"/>
      <c r="C164" s="101"/>
      <c r="D164" s="101"/>
      <c r="E164" s="110"/>
      <c r="F164" s="111"/>
      <c r="G164" s="112"/>
      <c r="H164" s="113"/>
      <c r="I164" s="113"/>
      <c r="J164" s="116"/>
      <c r="K164" s="18"/>
      <c r="L164" s="108"/>
      <c r="M164" s="46"/>
    </row>
    <row r="165" spans="2:13" ht="15">
      <c r="B165" s="109"/>
      <c r="C165" s="101"/>
      <c r="D165" s="101"/>
      <c r="E165" s="110"/>
      <c r="F165" s="111"/>
      <c r="G165" s="112"/>
      <c r="H165" s="113"/>
      <c r="I165" s="113"/>
      <c r="J165" s="116"/>
      <c r="K165" s="18"/>
      <c r="L165" s="108"/>
      <c r="M165" s="46"/>
    </row>
    <row r="166" spans="2:13" ht="15">
      <c r="B166" s="109"/>
      <c r="C166" s="101"/>
      <c r="D166" s="101"/>
      <c r="E166" s="110"/>
      <c r="F166" s="111"/>
      <c r="G166" s="112"/>
      <c r="H166" s="113"/>
      <c r="I166" s="113"/>
      <c r="J166" s="116"/>
      <c r="K166" s="18"/>
      <c r="L166" s="108"/>
      <c r="M166" s="46"/>
    </row>
    <row r="167" spans="2:13" ht="15">
      <c r="B167" s="109"/>
      <c r="C167" s="101"/>
      <c r="D167" s="101"/>
      <c r="E167" s="110"/>
      <c r="F167" s="111"/>
      <c r="G167" s="112"/>
      <c r="H167" s="113"/>
      <c r="I167" s="113"/>
      <c r="J167" s="116"/>
      <c r="K167" s="18"/>
      <c r="L167" s="108"/>
      <c r="M167" s="46"/>
    </row>
    <row r="168" spans="2:13" ht="15">
      <c r="B168" s="109"/>
      <c r="C168" s="101"/>
      <c r="D168" s="101"/>
      <c r="E168" s="110"/>
      <c r="F168" s="111"/>
      <c r="G168" s="112"/>
      <c r="H168" s="113"/>
      <c r="I168" s="113"/>
      <c r="J168" s="116"/>
      <c r="K168" s="18"/>
      <c r="L168" s="108"/>
      <c r="M168" s="46"/>
    </row>
    <row r="169" spans="2:13" ht="15">
      <c r="B169" s="109"/>
      <c r="C169" s="101"/>
      <c r="D169" s="101"/>
      <c r="E169" s="110"/>
      <c r="F169" s="111"/>
      <c r="G169" s="112"/>
      <c r="H169" s="113"/>
      <c r="I169" s="113"/>
      <c r="J169" s="116"/>
      <c r="K169" s="18"/>
      <c r="L169" s="108"/>
      <c r="M169" s="46"/>
    </row>
    <row r="170" spans="2:13" ht="15">
      <c r="B170" s="109"/>
      <c r="C170" s="250"/>
      <c r="D170" s="251"/>
      <c r="E170" s="251"/>
      <c r="F170" s="115"/>
      <c r="G170" s="112"/>
      <c r="H170" s="113"/>
      <c r="I170" s="113"/>
      <c r="J170" s="116"/>
      <c r="K170" s="18"/>
      <c r="L170" s="108"/>
      <c r="M170" s="46"/>
    </row>
    <row r="171" spans="2:13" ht="15">
      <c r="B171" s="109"/>
      <c r="C171" s="101"/>
      <c r="D171" s="101"/>
      <c r="E171" s="110"/>
      <c r="F171" s="111"/>
      <c r="G171" s="112"/>
      <c r="H171" s="113"/>
      <c r="I171" s="113"/>
      <c r="J171" s="116"/>
      <c r="K171" s="18"/>
      <c r="L171" s="108"/>
      <c r="M171" s="46"/>
    </row>
    <row r="172" spans="2:13" ht="15">
      <c r="B172" s="109"/>
      <c r="C172" s="101"/>
      <c r="D172" s="101"/>
      <c r="E172" s="110"/>
      <c r="F172" s="111"/>
      <c r="G172" s="112"/>
      <c r="H172" s="113"/>
      <c r="I172" s="113"/>
      <c r="J172" s="116"/>
      <c r="K172" s="18"/>
      <c r="L172" s="108"/>
      <c r="M172" s="46"/>
    </row>
    <row r="173" spans="2:13" ht="15">
      <c r="B173" s="109"/>
      <c r="C173" s="101"/>
      <c r="D173" s="101"/>
      <c r="E173" s="110"/>
      <c r="F173" s="111"/>
      <c r="G173" s="112"/>
      <c r="H173" s="113"/>
      <c r="I173" s="113"/>
      <c r="J173" s="116"/>
      <c r="K173" s="18"/>
      <c r="L173" s="108"/>
      <c r="M173" s="46"/>
    </row>
    <row r="174" spans="2:13" ht="15">
      <c r="B174" s="109"/>
      <c r="C174" s="101"/>
      <c r="D174" s="101"/>
      <c r="E174" s="110"/>
      <c r="F174" s="111"/>
      <c r="G174" s="112"/>
      <c r="H174" s="113"/>
      <c r="I174" s="113"/>
      <c r="J174" s="116"/>
      <c r="K174" s="18"/>
      <c r="L174" s="108"/>
      <c r="M174" s="46"/>
    </row>
    <row r="175" spans="2:13" ht="32.25" customHeight="1">
      <c r="B175" s="109"/>
      <c r="C175" s="250"/>
      <c r="D175" s="251"/>
      <c r="E175" s="251"/>
      <c r="F175" s="115"/>
      <c r="G175" s="112"/>
      <c r="H175" s="113"/>
      <c r="I175" s="113"/>
      <c r="J175" s="116"/>
      <c r="K175" s="18"/>
      <c r="L175" s="108"/>
      <c r="M175" s="46"/>
    </row>
    <row r="176" spans="2:13" ht="15">
      <c r="B176" s="109"/>
      <c r="C176" s="101"/>
      <c r="D176" s="101"/>
      <c r="E176" s="110"/>
      <c r="F176" s="111"/>
      <c r="G176" s="112"/>
      <c r="H176" s="113"/>
      <c r="I176" s="113"/>
      <c r="J176" s="114"/>
      <c r="K176" s="18"/>
      <c r="L176" s="108"/>
      <c r="M176" s="46"/>
    </row>
    <row r="177" spans="2:13" ht="15">
      <c r="B177" s="109"/>
      <c r="C177" s="101"/>
      <c r="D177" s="101"/>
      <c r="E177" s="110"/>
      <c r="F177" s="111"/>
      <c r="G177" s="112"/>
      <c r="H177" s="113"/>
      <c r="I177" s="113"/>
      <c r="J177" s="114"/>
      <c r="K177" s="18"/>
      <c r="L177" s="108"/>
      <c r="M177" s="46"/>
    </row>
    <row r="178" spans="2:13" ht="15">
      <c r="B178" s="121"/>
      <c r="C178" s="126"/>
      <c r="D178" s="122"/>
      <c r="E178" s="123"/>
      <c r="F178" s="124"/>
      <c r="G178" s="119"/>
      <c r="H178" s="125"/>
      <c r="I178" s="125"/>
      <c r="J178" s="120"/>
      <c r="K178" s="19"/>
      <c r="L178" s="108"/>
      <c r="M178" s="46"/>
    </row>
    <row r="179" spans="2:13" ht="15">
      <c r="B179" s="121"/>
      <c r="C179" s="126"/>
      <c r="D179" s="122"/>
      <c r="E179" s="123"/>
      <c r="F179" s="124"/>
      <c r="G179" s="119"/>
      <c r="H179" s="125"/>
      <c r="I179" s="125"/>
      <c r="J179" s="120"/>
      <c r="K179" s="19"/>
      <c r="L179" s="108"/>
      <c r="M179" s="46"/>
    </row>
    <row r="180" spans="2:13" ht="15">
      <c r="B180" s="121"/>
      <c r="C180" s="126"/>
      <c r="D180" s="122"/>
      <c r="E180" s="123"/>
      <c r="F180" s="124"/>
      <c r="G180" s="119"/>
      <c r="H180" s="125"/>
      <c r="I180" s="125"/>
      <c r="J180" s="120"/>
      <c r="K180" s="19"/>
      <c r="L180" s="108"/>
      <c r="M180" s="46"/>
    </row>
    <row r="181" spans="2:13" ht="15">
      <c r="B181" s="121"/>
      <c r="C181" s="126"/>
      <c r="D181" s="122"/>
      <c r="E181" s="123"/>
      <c r="F181" s="124"/>
      <c r="G181" s="119"/>
      <c r="H181" s="125"/>
      <c r="I181" s="125"/>
      <c r="J181" s="120"/>
      <c r="K181" s="19"/>
      <c r="L181" s="108"/>
      <c r="M181" s="46"/>
    </row>
    <row r="182" spans="2:13" ht="15">
      <c r="B182" s="121"/>
      <c r="C182" s="126"/>
      <c r="D182" s="122"/>
      <c r="E182" s="123"/>
      <c r="F182" s="124"/>
      <c r="G182" s="119"/>
      <c r="H182" s="125"/>
      <c r="I182" s="125"/>
      <c r="J182" s="120"/>
      <c r="K182" s="19"/>
      <c r="L182" s="108"/>
      <c r="M182" s="46"/>
    </row>
    <row r="183" spans="2:13" ht="15">
      <c r="B183" s="121"/>
      <c r="C183" s="126"/>
      <c r="D183" s="122"/>
      <c r="E183" s="123"/>
      <c r="F183" s="124"/>
      <c r="G183" s="119"/>
      <c r="H183" s="125"/>
      <c r="I183" s="125"/>
      <c r="J183" s="120"/>
      <c r="K183" s="19"/>
      <c r="L183" s="108"/>
      <c r="M183" s="46"/>
    </row>
    <row r="184" spans="2:13" ht="15">
      <c r="B184" s="121"/>
      <c r="C184" s="126"/>
      <c r="D184" s="122"/>
      <c r="E184" s="123"/>
      <c r="F184" s="124"/>
      <c r="G184" s="119"/>
      <c r="H184" s="125"/>
      <c r="I184" s="125"/>
      <c r="J184" s="120"/>
      <c r="K184" s="19"/>
      <c r="L184" s="108"/>
      <c r="M184" s="46"/>
    </row>
    <row r="185" spans="2:13" ht="64.5" customHeight="1">
      <c r="B185" s="121"/>
      <c r="C185" s="126"/>
      <c r="D185" s="122"/>
      <c r="E185" s="123"/>
      <c r="F185" s="124"/>
      <c r="G185" s="119"/>
      <c r="H185" s="125"/>
      <c r="I185" s="125"/>
      <c r="J185" s="120"/>
      <c r="K185" s="19"/>
      <c r="L185" s="10"/>
      <c r="M185" s="10"/>
    </row>
    <row r="186" spans="2:13" ht="15">
      <c r="B186" s="121"/>
      <c r="C186" s="126"/>
      <c r="D186" s="122"/>
      <c r="E186" s="123"/>
      <c r="F186" s="124"/>
      <c r="G186" s="119"/>
      <c r="H186" s="125"/>
      <c r="I186" s="125"/>
      <c r="J186" s="120"/>
      <c r="K186" s="19"/>
      <c r="L186" s="108"/>
      <c r="M186" s="10"/>
    </row>
    <row r="187" spans="2:13" ht="15">
      <c r="B187" s="121"/>
      <c r="C187" s="126"/>
      <c r="D187" s="122"/>
      <c r="E187" s="123"/>
      <c r="F187" s="124"/>
      <c r="G187" s="119"/>
      <c r="H187" s="125"/>
      <c r="I187" s="125"/>
      <c r="J187" s="120"/>
      <c r="K187" s="19"/>
      <c r="L187" s="108"/>
      <c r="M187" s="10"/>
    </row>
    <row r="188" spans="2:13" ht="15">
      <c r="B188" s="121"/>
      <c r="C188" s="126"/>
      <c r="D188" s="122"/>
      <c r="E188" s="123"/>
      <c r="F188" s="124"/>
      <c r="G188" s="119"/>
      <c r="H188" s="125"/>
      <c r="I188" s="125"/>
      <c r="J188" s="120"/>
      <c r="K188" s="19"/>
      <c r="L188" s="108"/>
      <c r="M188" s="10"/>
    </row>
    <row r="189" spans="2:13" ht="15">
      <c r="B189" s="121"/>
      <c r="C189" s="126"/>
      <c r="D189" s="122"/>
      <c r="E189" s="123"/>
      <c r="F189" s="124"/>
      <c r="G189" s="119"/>
      <c r="H189" s="125"/>
      <c r="I189" s="125"/>
      <c r="J189" s="120"/>
      <c r="K189" s="19"/>
      <c r="L189" s="108"/>
      <c r="M189" s="10"/>
    </row>
    <row r="190" spans="2:13" ht="15">
      <c r="B190" s="121"/>
      <c r="C190" s="126"/>
      <c r="D190" s="122"/>
      <c r="E190" s="123"/>
      <c r="F190" s="124"/>
      <c r="G190" s="119"/>
      <c r="H190" s="125"/>
      <c r="I190" s="125"/>
      <c r="J190" s="120"/>
      <c r="K190" s="19"/>
      <c r="L190" s="108"/>
      <c r="M190" s="10"/>
    </row>
    <row r="191" spans="2:13" ht="15">
      <c r="B191" s="121"/>
      <c r="C191" s="126"/>
      <c r="D191" s="122"/>
      <c r="E191" s="123"/>
      <c r="F191" s="124"/>
      <c r="G191" s="119"/>
      <c r="H191" s="125"/>
      <c r="I191" s="125"/>
      <c r="J191" s="120"/>
      <c r="K191" s="19"/>
      <c r="L191" s="108"/>
      <c r="M191" s="10"/>
    </row>
    <row r="192" spans="2:13" ht="15">
      <c r="B192" s="121"/>
      <c r="C192" s="126"/>
      <c r="D192" s="122"/>
      <c r="E192" s="123"/>
      <c r="F192" s="124"/>
      <c r="G192" s="119"/>
      <c r="H192" s="125"/>
      <c r="I192" s="125"/>
      <c r="J192" s="120"/>
      <c r="K192" s="19"/>
      <c r="L192" s="108"/>
      <c r="M192" s="10"/>
    </row>
    <row r="193" spans="2:13" ht="15">
      <c r="B193" s="121"/>
      <c r="C193" s="126"/>
      <c r="D193" s="122"/>
      <c r="E193" s="123"/>
      <c r="F193" s="124"/>
      <c r="G193" s="119"/>
      <c r="H193" s="125"/>
      <c r="I193" s="125"/>
      <c r="J193" s="120"/>
      <c r="K193" s="19"/>
      <c r="L193" s="108"/>
      <c r="M193" s="10"/>
    </row>
    <row r="194" spans="2:13" ht="15">
      <c r="B194" s="121"/>
      <c r="C194" s="126"/>
      <c r="D194" s="122"/>
      <c r="E194" s="123"/>
      <c r="F194" s="124"/>
      <c r="G194" s="119"/>
      <c r="H194" s="125"/>
      <c r="I194" s="125"/>
      <c r="J194" s="120"/>
      <c r="K194" s="19"/>
      <c r="L194" s="108"/>
      <c r="M194" s="10"/>
    </row>
    <row r="195" spans="2:13" ht="15">
      <c r="B195" s="121"/>
      <c r="C195" s="126"/>
      <c r="D195" s="122"/>
      <c r="E195" s="123"/>
      <c r="F195" s="124"/>
      <c r="G195" s="119"/>
      <c r="H195" s="125"/>
      <c r="I195" s="125"/>
      <c r="J195" s="120"/>
      <c r="K195" s="19"/>
      <c r="L195" s="108"/>
      <c r="M195" s="10"/>
    </row>
    <row r="196" spans="2:13" ht="15">
      <c r="B196" s="121"/>
      <c r="C196" s="126"/>
      <c r="D196" s="122"/>
      <c r="E196" s="123"/>
      <c r="F196" s="124"/>
      <c r="G196" s="119"/>
      <c r="H196" s="125"/>
      <c r="I196" s="125"/>
      <c r="J196" s="120"/>
      <c r="K196" s="19"/>
      <c r="L196" s="108"/>
      <c r="M196" s="10"/>
    </row>
    <row r="197" spans="2:13" ht="15">
      <c r="B197" s="121"/>
      <c r="C197" s="126"/>
      <c r="D197" s="122"/>
      <c r="E197" s="123"/>
      <c r="F197" s="124"/>
      <c r="G197" s="119"/>
      <c r="H197" s="125"/>
      <c r="I197" s="125"/>
      <c r="J197" s="120"/>
      <c r="K197" s="19"/>
      <c r="L197" s="108"/>
      <c r="M197" s="10"/>
    </row>
    <row r="198" spans="2:13" ht="15">
      <c r="B198" s="121"/>
      <c r="C198" s="126"/>
      <c r="D198" s="122"/>
      <c r="E198" s="123"/>
      <c r="F198" s="124"/>
      <c r="G198" s="119"/>
      <c r="H198" s="125"/>
      <c r="I198" s="125"/>
      <c r="J198" s="120"/>
      <c r="K198" s="19"/>
      <c r="L198" s="108"/>
      <c r="M198" s="10"/>
    </row>
    <row r="199" spans="2:13" ht="34.5" customHeight="1">
      <c r="B199" s="121"/>
      <c r="C199" s="126"/>
      <c r="D199" s="122"/>
      <c r="E199" s="123"/>
      <c r="F199" s="124"/>
      <c r="G199" s="119"/>
      <c r="H199" s="125"/>
      <c r="I199" s="125"/>
      <c r="J199" s="120"/>
      <c r="K199" s="19"/>
      <c r="L199" s="108"/>
      <c r="M199" s="10"/>
    </row>
    <row r="200" spans="2:13" ht="15">
      <c r="B200" s="121"/>
      <c r="C200" s="126"/>
      <c r="D200" s="122"/>
      <c r="E200" s="123"/>
      <c r="F200" s="124"/>
      <c r="G200" s="119"/>
      <c r="H200" s="125"/>
      <c r="I200" s="125"/>
      <c r="J200" s="120"/>
      <c r="K200" s="19"/>
      <c r="L200" s="108"/>
      <c r="M200" s="10"/>
    </row>
    <row r="201" spans="2:13" ht="15">
      <c r="B201" s="121"/>
      <c r="C201" s="126"/>
      <c r="D201" s="122"/>
      <c r="E201" s="123"/>
      <c r="F201" s="124"/>
      <c r="G201" s="119"/>
      <c r="H201" s="125"/>
      <c r="I201" s="125"/>
      <c r="J201" s="120"/>
      <c r="K201" s="19"/>
      <c r="L201" s="108"/>
      <c r="M201" s="10"/>
    </row>
    <row r="202" spans="2:13" ht="15">
      <c r="B202" s="121"/>
      <c r="C202" s="126"/>
      <c r="D202" s="122"/>
      <c r="E202" s="123"/>
      <c r="F202" s="124"/>
      <c r="G202" s="119"/>
      <c r="H202" s="125"/>
      <c r="I202" s="125"/>
      <c r="J202" s="120"/>
      <c r="K202" s="19"/>
      <c r="L202" s="108"/>
      <c r="M202" s="10"/>
    </row>
    <row r="203" spans="2:13" ht="15">
      <c r="B203" s="121"/>
      <c r="C203" s="126"/>
      <c r="D203" s="122"/>
      <c r="E203" s="123"/>
      <c r="F203" s="124"/>
      <c r="G203" s="119"/>
      <c r="H203" s="125"/>
      <c r="I203" s="125"/>
      <c r="J203" s="120"/>
      <c r="K203" s="19"/>
      <c r="L203" s="108"/>
      <c r="M203" s="10"/>
    </row>
    <row r="204" spans="2:13" ht="15">
      <c r="B204" s="121"/>
      <c r="C204" s="126"/>
      <c r="D204" s="122"/>
      <c r="E204" s="123"/>
      <c r="F204" s="124"/>
      <c r="G204" s="119"/>
      <c r="H204" s="125"/>
      <c r="I204" s="125"/>
      <c r="J204" s="120"/>
      <c r="K204" s="19"/>
      <c r="L204" s="108"/>
      <c r="M204" s="10"/>
    </row>
    <row r="205" spans="2:13" ht="37.5" customHeight="1">
      <c r="B205" s="121"/>
      <c r="C205" s="126"/>
      <c r="D205" s="122"/>
      <c r="E205" s="123"/>
      <c r="F205" s="124"/>
      <c r="G205" s="119"/>
      <c r="H205" s="125"/>
      <c r="I205" s="125"/>
      <c r="J205" s="120"/>
      <c r="K205" s="19"/>
      <c r="L205" s="108"/>
      <c r="M205" s="10"/>
    </row>
    <row r="206" spans="2:13" ht="15">
      <c r="B206" s="121"/>
      <c r="C206" s="126"/>
      <c r="D206" s="122"/>
      <c r="E206" s="123"/>
      <c r="F206" s="124"/>
      <c r="G206" s="119"/>
      <c r="H206" s="125"/>
      <c r="I206" s="125"/>
      <c r="J206" s="120"/>
      <c r="K206" s="19"/>
      <c r="L206" s="108"/>
      <c r="M206" s="10"/>
    </row>
    <row r="207" spans="2:13" ht="15">
      <c r="B207" s="121"/>
      <c r="C207" s="126"/>
      <c r="D207" s="122"/>
      <c r="E207" s="123"/>
      <c r="F207" s="124"/>
      <c r="G207" s="119"/>
      <c r="H207" s="125"/>
      <c r="I207" s="125"/>
      <c r="J207" s="120"/>
      <c r="K207" s="19"/>
      <c r="L207" s="108"/>
      <c r="M207" s="10"/>
    </row>
    <row r="208" spans="2:13" ht="15">
      <c r="B208" s="121"/>
      <c r="C208" s="126"/>
      <c r="D208" s="122"/>
      <c r="E208" s="123"/>
      <c r="F208" s="124"/>
      <c r="G208" s="119"/>
      <c r="H208" s="125"/>
      <c r="I208" s="125"/>
      <c r="J208" s="120"/>
      <c r="K208" s="19"/>
      <c r="L208" s="108"/>
      <c r="M208" s="10"/>
    </row>
    <row r="209" spans="2:13" ht="15">
      <c r="B209" s="121"/>
      <c r="C209" s="126"/>
      <c r="D209" s="122"/>
      <c r="E209" s="123"/>
      <c r="F209" s="124"/>
      <c r="G209" s="119"/>
      <c r="H209" s="125"/>
      <c r="I209" s="125"/>
      <c r="J209" s="120"/>
      <c r="K209" s="19"/>
      <c r="L209" s="108"/>
      <c r="M209" s="10"/>
    </row>
    <row r="210" spans="2:13" ht="15">
      <c r="B210" s="121"/>
      <c r="C210" s="126"/>
      <c r="D210" s="122"/>
      <c r="E210" s="123"/>
      <c r="F210" s="124"/>
      <c r="G210" s="119"/>
      <c r="H210" s="125"/>
      <c r="I210" s="125"/>
      <c r="J210" s="120"/>
      <c r="K210" s="19"/>
      <c r="L210" s="108"/>
      <c r="M210" s="10"/>
    </row>
    <row r="211" spans="2:13" ht="15">
      <c r="B211" s="121"/>
      <c r="C211" s="126"/>
      <c r="D211" s="122"/>
      <c r="E211" s="123"/>
      <c r="F211" s="124"/>
      <c r="G211" s="119"/>
      <c r="H211" s="125"/>
      <c r="I211" s="125"/>
      <c r="J211" s="120"/>
      <c r="K211" s="19"/>
      <c r="L211" s="108"/>
      <c r="M211" s="10"/>
    </row>
    <row r="212" spans="2:13" ht="15">
      <c r="B212" s="121"/>
      <c r="C212" s="126"/>
      <c r="D212" s="122"/>
      <c r="E212" s="123"/>
      <c r="F212" s="124"/>
      <c r="G212" s="119"/>
      <c r="H212" s="125"/>
      <c r="I212" s="125"/>
      <c r="J212" s="120"/>
      <c r="K212" s="19"/>
      <c r="L212" s="108"/>
      <c r="M212" s="10"/>
    </row>
    <row r="213" spans="2:13" ht="15">
      <c r="B213" s="121"/>
      <c r="C213" s="126"/>
      <c r="D213" s="122"/>
      <c r="E213" s="123"/>
      <c r="F213" s="124"/>
      <c r="G213" s="119"/>
      <c r="H213" s="125"/>
      <c r="I213" s="125"/>
      <c r="J213" s="120"/>
      <c r="K213" s="19"/>
      <c r="L213" s="108"/>
      <c r="M213" s="10"/>
    </row>
    <row r="214" spans="2:13" ht="15">
      <c r="B214" s="121"/>
      <c r="C214" s="126"/>
      <c r="D214" s="122"/>
      <c r="E214" s="123"/>
      <c r="F214" s="124"/>
      <c r="G214" s="119"/>
      <c r="H214" s="125"/>
      <c r="I214" s="125"/>
      <c r="J214" s="120"/>
      <c r="K214" s="19"/>
      <c r="L214" s="108"/>
      <c r="M214" s="10"/>
    </row>
    <row r="215" spans="2:13" ht="15">
      <c r="B215" s="121"/>
      <c r="C215" s="126"/>
      <c r="D215" s="122"/>
      <c r="E215" s="123"/>
      <c r="F215" s="124"/>
      <c r="G215" s="119"/>
      <c r="H215" s="125"/>
      <c r="I215" s="125"/>
      <c r="J215" s="120"/>
      <c r="K215" s="19"/>
      <c r="L215" s="108"/>
      <c r="M215" s="10"/>
    </row>
    <row r="216" spans="2:13" ht="15">
      <c r="B216" s="121"/>
      <c r="C216" s="126"/>
      <c r="D216" s="122"/>
      <c r="E216" s="123"/>
      <c r="F216" s="124"/>
      <c r="G216" s="119"/>
      <c r="H216" s="125"/>
      <c r="I216" s="125"/>
      <c r="J216" s="120"/>
      <c r="K216" s="19"/>
      <c r="L216" s="108"/>
      <c r="M216" s="10"/>
    </row>
    <row r="217" spans="2:13" ht="15">
      <c r="B217" s="121"/>
      <c r="C217" s="126"/>
      <c r="D217" s="122"/>
      <c r="E217" s="123"/>
      <c r="F217" s="124"/>
      <c r="G217" s="119"/>
      <c r="H217" s="125"/>
      <c r="I217" s="125"/>
      <c r="J217" s="120"/>
      <c r="K217" s="19"/>
      <c r="L217" s="108"/>
      <c r="M217" s="10"/>
    </row>
    <row r="218" spans="2:13" ht="15">
      <c r="B218" s="121"/>
      <c r="C218" s="126"/>
      <c r="D218" s="122"/>
      <c r="E218" s="123"/>
      <c r="F218" s="124"/>
      <c r="G218" s="119"/>
      <c r="H218" s="125"/>
      <c r="I218" s="125"/>
      <c r="J218" s="120"/>
      <c r="K218" s="19"/>
      <c r="L218" s="108"/>
      <c r="M218" s="10"/>
    </row>
    <row r="219" spans="2:13" ht="15">
      <c r="B219" s="121"/>
      <c r="C219" s="126"/>
      <c r="D219" s="122"/>
      <c r="E219" s="123"/>
      <c r="F219" s="124"/>
      <c r="G219" s="119"/>
      <c r="H219" s="125"/>
      <c r="I219" s="125"/>
      <c r="J219" s="120"/>
      <c r="K219" s="19"/>
      <c r="L219" s="108"/>
      <c r="M219" s="10"/>
    </row>
    <row r="220" spans="2:13" ht="15">
      <c r="B220" s="121"/>
      <c r="C220" s="126"/>
      <c r="D220" s="122"/>
      <c r="E220" s="123"/>
      <c r="F220" s="124"/>
      <c r="G220" s="119"/>
      <c r="H220" s="125"/>
      <c r="I220" s="125"/>
      <c r="J220" s="120"/>
      <c r="K220" s="19"/>
      <c r="L220" s="108"/>
      <c r="M220" s="10"/>
    </row>
    <row r="221" spans="2:13" ht="15">
      <c r="B221" s="121"/>
      <c r="C221" s="126"/>
      <c r="D221" s="122"/>
      <c r="E221" s="123"/>
      <c r="F221" s="124"/>
      <c r="G221" s="119"/>
      <c r="H221" s="125"/>
      <c r="I221" s="125"/>
      <c r="J221" s="120"/>
      <c r="K221" s="19"/>
      <c r="L221" s="108"/>
      <c r="M221" s="10"/>
    </row>
    <row r="222" spans="2:13" ht="15">
      <c r="B222" s="121"/>
      <c r="C222" s="126"/>
      <c r="D222" s="122"/>
      <c r="E222" s="123"/>
      <c r="F222" s="124"/>
      <c r="G222" s="119"/>
      <c r="H222" s="125"/>
      <c r="I222" s="125"/>
      <c r="J222" s="120"/>
      <c r="K222" s="19"/>
      <c r="L222" s="108"/>
      <c r="M222" s="10"/>
    </row>
    <row r="223" spans="2:13" ht="15">
      <c r="B223" s="121"/>
      <c r="C223" s="126"/>
      <c r="D223" s="122"/>
      <c r="E223" s="123"/>
      <c r="F223" s="124"/>
      <c r="G223" s="119"/>
      <c r="H223" s="125"/>
      <c r="I223" s="125"/>
      <c r="J223" s="120"/>
      <c r="K223" s="19"/>
      <c r="L223" s="108"/>
      <c r="M223" s="10"/>
    </row>
    <row r="224" spans="2:13" ht="15">
      <c r="B224" s="121"/>
      <c r="C224" s="126"/>
      <c r="D224" s="122"/>
      <c r="E224" s="123"/>
      <c r="F224" s="124"/>
      <c r="G224" s="119"/>
      <c r="H224" s="125"/>
      <c r="I224" s="125"/>
      <c r="J224" s="120"/>
      <c r="K224" s="19"/>
      <c r="L224" s="108"/>
      <c r="M224" s="10"/>
    </row>
    <row r="225" spans="2:13" ht="15">
      <c r="B225" s="121"/>
      <c r="C225" s="126"/>
      <c r="D225" s="122"/>
      <c r="E225" s="123"/>
      <c r="F225" s="124"/>
      <c r="G225" s="119"/>
      <c r="H225" s="125"/>
      <c r="I225" s="125"/>
      <c r="J225" s="120"/>
      <c r="K225" s="19"/>
      <c r="L225" s="108"/>
      <c r="M225" s="10"/>
    </row>
    <row r="226" spans="2:13" ht="15">
      <c r="B226" s="121"/>
      <c r="C226" s="126"/>
      <c r="D226" s="122"/>
      <c r="E226" s="123"/>
      <c r="F226" s="124"/>
      <c r="G226" s="119"/>
      <c r="H226" s="125"/>
      <c r="I226" s="125"/>
      <c r="J226" s="120"/>
      <c r="K226" s="19"/>
      <c r="L226" s="108"/>
      <c r="M226" s="10"/>
    </row>
    <row r="227" spans="2:13" ht="15">
      <c r="B227" s="121"/>
      <c r="C227" s="126"/>
      <c r="D227" s="122"/>
      <c r="E227" s="123"/>
      <c r="F227" s="124"/>
      <c r="G227" s="119"/>
      <c r="H227" s="125"/>
      <c r="I227" s="125"/>
      <c r="J227" s="120"/>
      <c r="K227" s="19"/>
      <c r="L227" s="108"/>
      <c r="M227" s="10"/>
    </row>
    <row r="228" spans="2:13" ht="15">
      <c r="B228" s="121"/>
      <c r="C228" s="126"/>
      <c r="D228" s="122"/>
      <c r="E228" s="123"/>
      <c r="F228" s="124"/>
      <c r="G228" s="119"/>
      <c r="H228" s="125"/>
      <c r="I228" s="125"/>
      <c r="J228" s="120"/>
      <c r="K228" s="19"/>
      <c r="L228" s="108"/>
      <c r="M228" s="10"/>
    </row>
    <row r="229" spans="2:13" ht="15">
      <c r="B229" s="121"/>
      <c r="C229" s="126"/>
      <c r="D229" s="122"/>
      <c r="E229" s="123"/>
      <c r="F229" s="124"/>
      <c r="G229" s="119"/>
      <c r="H229" s="125"/>
      <c r="I229" s="125"/>
      <c r="J229" s="120"/>
      <c r="K229" s="19"/>
      <c r="L229" s="108"/>
      <c r="M229" s="10"/>
    </row>
    <row r="230" spans="2:13" ht="15">
      <c r="B230" s="121"/>
      <c r="C230" s="126"/>
      <c r="D230" s="122"/>
      <c r="E230" s="123"/>
      <c r="F230" s="124"/>
      <c r="G230" s="119"/>
      <c r="H230" s="125"/>
      <c r="I230" s="125"/>
      <c r="J230" s="120"/>
      <c r="K230" s="19"/>
      <c r="L230" s="108"/>
      <c r="M230" s="10"/>
    </row>
    <row r="231" spans="2:13" ht="15">
      <c r="B231" s="121"/>
      <c r="C231" s="126"/>
      <c r="D231" s="122"/>
      <c r="E231" s="123"/>
      <c r="F231" s="124"/>
      <c r="G231" s="119"/>
      <c r="H231" s="125"/>
      <c r="I231" s="125"/>
      <c r="J231" s="120"/>
      <c r="K231" s="19"/>
      <c r="L231" s="108"/>
      <c r="M231" s="10"/>
    </row>
    <row r="232" spans="2:13" ht="15">
      <c r="B232" s="121"/>
      <c r="C232" s="126"/>
      <c r="D232" s="122"/>
      <c r="E232" s="123"/>
      <c r="F232" s="124"/>
      <c r="G232" s="119"/>
      <c r="H232" s="125"/>
      <c r="I232" s="125"/>
      <c r="J232" s="120"/>
      <c r="K232" s="19"/>
      <c r="L232" s="108"/>
      <c r="M232" s="10"/>
    </row>
    <row r="233" spans="2:13" ht="15">
      <c r="B233" s="121"/>
      <c r="C233" s="126"/>
      <c r="D233" s="122"/>
      <c r="E233" s="123"/>
      <c r="F233" s="124"/>
      <c r="G233" s="119"/>
      <c r="H233" s="125"/>
      <c r="I233" s="125"/>
      <c r="J233" s="120"/>
      <c r="K233" s="19"/>
      <c r="L233" s="108"/>
      <c r="M233" s="10"/>
    </row>
    <row r="234" spans="2:13" ht="15">
      <c r="B234" s="121"/>
      <c r="C234" s="126"/>
      <c r="D234" s="122"/>
      <c r="E234" s="123"/>
      <c r="F234" s="124"/>
      <c r="G234" s="119"/>
      <c r="H234" s="125"/>
      <c r="I234" s="125"/>
      <c r="J234" s="120"/>
      <c r="K234" s="19"/>
      <c r="L234" s="108"/>
      <c r="M234" s="10"/>
    </row>
    <row r="235" spans="2:13" ht="15">
      <c r="B235" s="121"/>
      <c r="C235" s="126"/>
      <c r="D235" s="122"/>
      <c r="E235" s="123"/>
      <c r="F235" s="124"/>
      <c r="G235" s="119"/>
      <c r="H235" s="125"/>
      <c r="I235" s="125"/>
      <c r="J235" s="120"/>
      <c r="K235" s="19"/>
      <c r="L235" s="108"/>
      <c r="M235" s="10"/>
    </row>
    <row r="236" spans="2:13" ht="15">
      <c r="B236" s="121"/>
      <c r="C236" s="126"/>
      <c r="D236" s="122"/>
      <c r="E236" s="123"/>
      <c r="F236" s="124"/>
      <c r="G236" s="119"/>
      <c r="H236" s="125"/>
      <c r="I236" s="125"/>
      <c r="J236" s="120"/>
      <c r="K236" s="19"/>
      <c r="L236" s="108"/>
      <c r="M236" s="10"/>
    </row>
    <row r="237" spans="2:13" ht="15">
      <c r="B237" s="121"/>
      <c r="C237" s="126"/>
      <c r="D237" s="122"/>
      <c r="E237" s="123"/>
      <c r="F237" s="124"/>
      <c r="G237" s="119"/>
      <c r="H237" s="125"/>
      <c r="I237" s="125"/>
      <c r="J237" s="120"/>
      <c r="K237" s="19"/>
      <c r="L237" s="108"/>
      <c r="M237" s="10"/>
    </row>
    <row r="238" spans="2:13" ht="15">
      <c r="B238" s="121"/>
      <c r="C238" s="126"/>
      <c r="D238" s="122"/>
      <c r="E238" s="123"/>
      <c r="F238" s="124"/>
      <c r="G238" s="119"/>
      <c r="H238" s="125"/>
      <c r="I238" s="125"/>
      <c r="J238" s="120"/>
      <c r="K238" s="19"/>
      <c r="L238" s="108"/>
      <c r="M238" s="10"/>
    </row>
    <row r="239" spans="2:13" ht="15">
      <c r="B239" s="121"/>
      <c r="C239" s="126"/>
      <c r="D239" s="122"/>
      <c r="E239" s="123"/>
      <c r="F239" s="124"/>
      <c r="G239" s="119"/>
      <c r="H239" s="125"/>
      <c r="I239" s="125"/>
      <c r="J239" s="120"/>
      <c r="K239" s="19"/>
      <c r="L239" s="108"/>
      <c r="M239" s="10"/>
    </row>
    <row r="240" spans="2:13" ht="15">
      <c r="B240" s="121"/>
      <c r="C240" s="126"/>
      <c r="D240" s="126"/>
      <c r="E240" s="123"/>
      <c r="F240" s="124"/>
      <c r="G240" s="119"/>
      <c r="H240" s="125"/>
      <c r="I240" s="125"/>
      <c r="J240" s="120"/>
      <c r="K240" s="19"/>
      <c r="L240" s="108"/>
      <c r="M240" s="10"/>
    </row>
    <row r="241" spans="2:13" ht="15">
      <c r="B241" s="121"/>
      <c r="C241" s="126"/>
      <c r="D241" s="126"/>
      <c r="E241" s="123"/>
      <c r="F241" s="124"/>
      <c r="G241" s="119"/>
      <c r="H241" s="125"/>
      <c r="I241" s="125"/>
      <c r="J241" s="120"/>
      <c r="K241" s="19"/>
      <c r="L241" s="108"/>
      <c r="M241" s="10"/>
    </row>
    <row r="242" spans="2:13" ht="15">
      <c r="B242" s="121"/>
      <c r="C242" s="126"/>
      <c r="D242" s="126"/>
      <c r="E242" s="123"/>
      <c r="F242" s="124"/>
      <c r="G242" s="119"/>
      <c r="H242" s="125"/>
      <c r="I242" s="125"/>
      <c r="J242" s="120"/>
      <c r="K242" s="19"/>
      <c r="L242" s="108"/>
      <c r="M242" s="10"/>
    </row>
    <row r="243" spans="2:13" ht="15">
      <c r="B243" s="121"/>
      <c r="C243" s="126"/>
      <c r="D243" s="127"/>
      <c r="E243" s="123"/>
      <c r="F243" s="124"/>
      <c r="G243" s="119"/>
      <c r="H243" s="125"/>
      <c r="I243" s="125"/>
      <c r="J243" s="120"/>
      <c r="K243" s="19"/>
      <c r="L243" s="108"/>
      <c r="M243" s="10"/>
    </row>
    <row r="244" spans="2:13" ht="15">
      <c r="B244" s="121"/>
      <c r="C244" s="126"/>
      <c r="D244" s="122"/>
      <c r="E244" s="123"/>
      <c r="F244" s="124"/>
      <c r="G244" s="119"/>
      <c r="H244" s="125"/>
      <c r="I244" s="125"/>
      <c r="J244" s="120"/>
      <c r="K244" s="19"/>
      <c r="L244" s="108"/>
      <c r="M244" s="10"/>
    </row>
    <row r="245" spans="2:13" ht="15">
      <c r="B245" s="121"/>
      <c r="C245" s="126"/>
      <c r="D245" s="122"/>
      <c r="E245" s="123"/>
      <c r="F245" s="124"/>
      <c r="G245" s="119"/>
      <c r="H245" s="125"/>
      <c r="I245" s="125"/>
      <c r="J245" s="120"/>
      <c r="K245" s="19"/>
      <c r="L245" s="108"/>
      <c r="M245" s="10"/>
    </row>
    <row r="246" spans="2:13" ht="15">
      <c r="B246" s="121"/>
      <c r="C246" s="126"/>
      <c r="D246" s="122"/>
      <c r="E246" s="123"/>
      <c r="F246" s="124"/>
      <c r="G246" s="119"/>
      <c r="H246" s="125"/>
      <c r="I246" s="125"/>
      <c r="J246" s="120"/>
      <c r="K246" s="19"/>
      <c r="L246" s="108"/>
      <c r="M246" s="10"/>
    </row>
    <row r="247" spans="2:13" ht="15">
      <c r="B247" s="121"/>
      <c r="C247" s="126"/>
      <c r="D247" s="122"/>
      <c r="E247" s="123"/>
      <c r="F247" s="124"/>
      <c r="G247" s="119"/>
      <c r="H247" s="125"/>
      <c r="I247" s="125"/>
      <c r="J247" s="120"/>
      <c r="K247" s="19"/>
      <c r="L247" s="108"/>
      <c r="M247" s="10"/>
    </row>
    <row r="248" spans="2:13" ht="15">
      <c r="B248" s="121"/>
      <c r="C248" s="126"/>
      <c r="D248" s="122"/>
      <c r="E248" s="123"/>
      <c r="F248" s="124"/>
      <c r="G248" s="119"/>
      <c r="H248" s="125"/>
      <c r="I248" s="125"/>
      <c r="J248" s="120"/>
      <c r="K248" s="19"/>
      <c r="L248" s="108"/>
      <c r="M248" s="10"/>
    </row>
    <row r="249" spans="2:13" ht="15">
      <c r="B249" s="121"/>
      <c r="C249" s="126"/>
      <c r="D249" s="122"/>
      <c r="E249" s="123"/>
      <c r="F249" s="124"/>
      <c r="G249" s="119"/>
      <c r="H249" s="125"/>
      <c r="I249" s="125"/>
      <c r="J249" s="120"/>
      <c r="K249" s="19"/>
      <c r="L249" s="108"/>
      <c r="M249" s="10"/>
    </row>
    <row r="250" spans="2:13" ht="15">
      <c r="B250" s="121"/>
      <c r="C250" s="126"/>
      <c r="D250" s="122"/>
      <c r="E250" s="123"/>
      <c r="F250" s="124"/>
      <c r="G250" s="119"/>
      <c r="H250" s="125"/>
      <c r="I250" s="125"/>
      <c r="J250" s="120"/>
      <c r="K250" s="19"/>
      <c r="L250" s="108"/>
      <c r="M250" s="10"/>
    </row>
    <row r="251" spans="2:13" ht="15">
      <c r="B251" s="121"/>
      <c r="C251" s="126"/>
      <c r="D251" s="122"/>
      <c r="E251" s="123"/>
      <c r="F251" s="124"/>
      <c r="G251" s="119"/>
      <c r="H251" s="125"/>
      <c r="I251" s="125"/>
      <c r="J251" s="120"/>
      <c r="K251" s="19"/>
      <c r="L251" s="108"/>
      <c r="M251" s="10"/>
    </row>
    <row r="252" spans="2:13" ht="15">
      <c r="B252" s="121"/>
      <c r="C252" s="126"/>
      <c r="D252" s="122"/>
      <c r="E252" s="123"/>
      <c r="F252" s="124"/>
      <c r="G252" s="119"/>
      <c r="H252" s="125"/>
      <c r="I252" s="125"/>
      <c r="J252" s="120"/>
      <c r="K252" s="19"/>
      <c r="L252" s="108"/>
      <c r="M252" s="10"/>
    </row>
    <row r="253" spans="2:13" ht="15">
      <c r="B253" s="121"/>
      <c r="C253" s="126"/>
      <c r="D253" s="122"/>
      <c r="E253" s="123"/>
      <c r="F253" s="124"/>
      <c r="G253" s="119"/>
      <c r="H253" s="125"/>
      <c r="I253" s="125"/>
      <c r="J253" s="120"/>
      <c r="K253" s="19"/>
      <c r="L253" s="108"/>
      <c r="M253" s="10"/>
    </row>
    <row r="254" spans="2:13" ht="15">
      <c r="B254" s="121"/>
      <c r="C254" s="126"/>
      <c r="D254" s="122"/>
      <c r="E254" s="123"/>
      <c r="F254" s="124"/>
      <c r="G254" s="119"/>
      <c r="H254" s="125"/>
      <c r="I254" s="125"/>
      <c r="J254" s="120"/>
      <c r="K254" s="19"/>
      <c r="L254" s="108"/>
      <c r="M254" s="10"/>
    </row>
    <row r="255" spans="2:13" ht="15">
      <c r="B255" s="121"/>
      <c r="C255" s="126"/>
      <c r="D255" s="117"/>
      <c r="E255" s="123"/>
      <c r="F255" s="128"/>
      <c r="G255" s="119"/>
      <c r="H255" s="125"/>
      <c r="I255" s="125"/>
      <c r="J255" s="120"/>
      <c r="K255" s="19"/>
      <c r="L255" s="108"/>
      <c r="M255" s="10"/>
    </row>
    <row r="256" spans="2:13" ht="15">
      <c r="B256" s="121"/>
      <c r="C256" s="126"/>
      <c r="D256" s="122"/>
      <c r="E256" s="123"/>
      <c r="F256" s="128"/>
      <c r="G256" s="119"/>
      <c r="H256" s="125"/>
      <c r="I256" s="125"/>
      <c r="J256" s="120"/>
      <c r="K256" s="19"/>
      <c r="L256" s="108"/>
      <c r="M256" s="10"/>
    </row>
    <row r="257" spans="2:13" ht="15">
      <c r="B257" s="129"/>
      <c r="C257" s="126"/>
      <c r="D257" s="122"/>
      <c r="E257" s="123"/>
      <c r="F257" s="128"/>
      <c r="G257" s="119"/>
      <c r="H257" s="125"/>
      <c r="I257" s="125"/>
      <c r="J257" s="120"/>
      <c r="K257" s="19"/>
      <c r="L257" s="108"/>
      <c r="M257" s="10"/>
    </row>
    <row r="258" spans="2:13" ht="15">
      <c r="B258" s="129"/>
      <c r="C258" s="126"/>
      <c r="D258" s="122"/>
      <c r="E258" s="122"/>
      <c r="F258" s="118"/>
      <c r="G258" s="119"/>
      <c r="H258" s="125"/>
      <c r="I258" s="125"/>
      <c r="J258" s="120"/>
      <c r="K258" s="19"/>
      <c r="L258" s="108"/>
      <c r="M258" s="10"/>
    </row>
    <row r="259" spans="2:12" ht="12">
      <c r="B259" s="42"/>
      <c r="C259" s="10"/>
      <c r="D259" s="16"/>
      <c r="E259" s="43"/>
      <c r="F259" s="44"/>
      <c r="G259" s="45"/>
      <c r="H259" s="46"/>
      <c r="I259" s="46"/>
      <c r="J259" s="47"/>
      <c r="K259" s="19"/>
      <c r="L259" s="6"/>
    </row>
  </sheetData>
  <sheetProtection/>
  <mergeCells count="14">
    <mergeCell ref="C6:D6"/>
    <mergeCell ref="C56:E56"/>
    <mergeCell ref="C90:D90"/>
    <mergeCell ref="C170:E170"/>
    <mergeCell ref="C175:E175"/>
    <mergeCell ref="B3:E3"/>
    <mergeCell ref="C15:D15"/>
    <mergeCell ref="C40:D40"/>
    <mergeCell ref="C145:E145"/>
    <mergeCell ref="C161:E161"/>
    <mergeCell ref="C31:E31"/>
    <mergeCell ref="C46:D46"/>
    <mergeCell ref="C70:D70"/>
    <mergeCell ref="C76:D76"/>
  </mergeCells>
  <printOptions/>
  <pageMargins left="0.25" right="0.75" top="0.25" bottom="0.25" header="0" footer="0"/>
  <pageSetup horizontalDpi="600" verticalDpi="600" orientation="portrait"/>
  <rowBreaks count="5" manualBreakCount="5">
    <brk id="46" max="255" man="1"/>
    <brk id="90" min="1" max="8" man="1"/>
    <brk id="175" min="1" max="8" man="1"/>
    <brk id="205" min="1" max="8" man="1"/>
    <brk id="219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Ratcliff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adminrww</dc:creator>
  <cp:keywords/>
  <dc:description/>
  <cp:lastModifiedBy>C. Duque</cp:lastModifiedBy>
  <cp:lastPrinted>2013-03-21T18:00:34Z</cp:lastPrinted>
  <dcterms:created xsi:type="dcterms:W3CDTF">2007-01-22T20:49:13Z</dcterms:created>
  <dcterms:modified xsi:type="dcterms:W3CDTF">2013-04-24T02:38:18Z</dcterms:modified>
  <cp:category/>
  <cp:version/>
  <cp:contentType/>
  <cp:contentStatus/>
</cp:coreProperties>
</file>